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927"/>
  <workbookPr/>
  <mc:AlternateContent xmlns:mc="http://schemas.openxmlformats.org/markup-compatibility/2006">
    <mc:Choice Requires="x15">
      <x15ac:absPath xmlns:x15ac="http://schemas.microsoft.com/office/spreadsheetml/2010/11/ac" url="C:\Users\Owner\Documents\Dad's Website\Dads Spreadsheets for website\"/>
    </mc:Choice>
  </mc:AlternateContent>
  <workbookProtection workbookAlgorithmName="SHA-512" workbookHashValue="VopBRwkUcfEd2IQVmkJl/KBYH6lN7PboGvstbqXQcsTXiEGeOKZa+DvWxw7k31BSCXUDfMLXXtCECW68M3CYIQ==" workbookSaltValue="FbnKpNqcKgU31pF8sELTgA==" workbookSpinCount="100000" lockStructure="1"/>
  <bookViews>
    <workbookView xWindow="0" yWindow="0" windowWidth="28800" windowHeight="12210"/>
  </bookViews>
  <sheets>
    <sheet name="Supply &amp;Disposition" sheetId="10556" r:id="rId1"/>
    <sheet name="Productivity" sheetId="4" r:id="rId2"/>
    <sheet name="Chart 1" sheetId="10552" r:id="rId3"/>
    <sheet name="Chart 2" sheetId="10553" r:id="rId4"/>
    <sheet name="Chart 3" sheetId="10554" r:id="rId5"/>
    <sheet name="Chart 4" sheetId="10559" r:id="rId6"/>
    <sheet name="Sheet3" sheetId="10557" r:id="rId7"/>
  </sheets>
  <definedNames>
    <definedName name="_D89162">Productivity!#REF!</definedName>
  </definedNames>
  <calcPr calcId="171027"/>
</workbook>
</file>

<file path=xl/calcChain.xml><?xml version="1.0" encoding="utf-8"?>
<calcChain xmlns="http://schemas.openxmlformats.org/spreadsheetml/2006/main">
  <c r="W26" i="10556" l="1"/>
  <c r="F103" i="10556"/>
  <c r="V103" i="10556"/>
  <c r="U103" i="10556"/>
  <c r="T103" i="10556"/>
  <c r="S103" i="10556"/>
  <c r="R103" i="10556"/>
  <c r="Q103" i="10556"/>
  <c r="P103" i="10556"/>
  <c r="O103" i="10556"/>
  <c r="N103" i="10556"/>
  <c r="M103" i="10556"/>
  <c r="L103" i="10556"/>
  <c r="K103" i="10556"/>
  <c r="J103" i="10556"/>
  <c r="I103" i="10556"/>
  <c r="H103" i="10556"/>
  <c r="G103" i="10556"/>
  <c r="G73" i="4"/>
  <c r="H73" i="4" s="1"/>
  <c r="I73" i="4" s="1"/>
  <c r="J73" i="4" s="1"/>
  <c r="W85" i="10556"/>
  <c r="W79" i="10556"/>
  <c r="W71" i="10556"/>
  <c r="W86" i="10556" s="1"/>
  <c r="W29" i="10556"/>
  <c r="W30" i="10556"/>
  <c r="W51" i="10556" s="1"/>
  <c r="W31" i="10556"/>
  <c r="W52" i="10556" s="1"/>
  <c r="W32" i="10556"/>
  <c r="W53" i="10556" s="1"/>
  <c r="W64" i="4"/>
  <c r="W65" i="4" s="1"/>
  <c r="W54" i="4"/>
  <c r="W55" i="4"/>
  <c r="W57" i="4" s="1"/>
  <c r="W58" i="4" s="1"/>
  <c r="W56" i="4"/>
  <c r="W53" i="4"/>
  <c r="W17" i="4"/>
  <c r="W11" i="4" s="1"/>
  <c r="W15" i="10556"/>
  <c r="W19" i="10556" s="1"/>
  <c r="W20" i="10556" s="1"/>
  <c r="W22" i="4" l="1"/>
  <c r="W61" i="10556"/>
  <c r="W62" i="10556" s="1"/>
  <c r="W25" i="4"/>
  <c r="W36" i="4"/>
  <c r="W33" i="10556" s="1"/>
  <c r="W26" i="4"/>
  <c r="W28" i="4"/>
  <c r="W27" i="4"/>
  <c r="W50" i="10556"/>
  <c r="W55" i="10556" s="1"/>
  <c r="W54" i="10556" s="1"/>
  <c r="W9" i="10556"/>
  <c r="E112" i="4"/>
  <c r="F112" i="4"/>
  <c r="K112" i="4"/>
  <c r="L112" i="4"/>
  <c r="M112" i="4"/>
  <c r="N112" i="4"/>
  <c r="O112" i="4"/>
  <c r="P112" i="4"/>
  <c r="Q112" i="4"/>
  <c r="R112" i="4"/>
  <c r="S112" i="4"/>
  <c r="T112" i="4"/>
  <c r="U112" i="4"/>
  <c r="V112" i="4"/>
  <c r="D112" i="4"/>
  <c r="E105" i="4"/>
  <c r="F105" i="4"/>
  <c r="K105" i="4"/>
  <c r="L105" i="4"/>
  <c r="M105" i="4"/>
  <c r="N105" i="4"/>
  <c r="O105" i="4"/>
  <c r="P105" i="4"/>
  <c r="Q105" i="4"/>
  <c r="R105" i="4"/>
  <c r="S105" i="4"/>
  <c r="T105" i="4"/>
  <c r="U105" i="4"/>
  <c r="V105" i="4"/>
  <c r="D105" i="4"/>
  <c r="K95" i="4"/>
  <c r="L95" i="4"/>
  <c r="M95" i="4"/>
  <c r="N95" i="4"/>
  <c r="O95" i="4"/>
  <c r="P95" i="4"/>
  <c r="Q95" i="4"/>
  <c r="R95" i="4"/>
  <c r="S95" i="4"/>
  <c r="T95" i="4"/>
  <c r="U95" i="4"/>
  <c r="V95" i="4"/>
  <c r="E95" i="4"/>
  <c r="F95" i="4"/>
  <c r="D95" i="4"/>
  <c r="W25" i="10556" l="1"/>
  <c r="W42" i="4"/>
  <c r="W39" i="10556" s="1"/>
  <c r="W40" i="4"/>
  <c r="W37" i="10556" s="1"/>
  <c r="W23" i="10556"/>
  <c r="W41" i="4"/>
  <c r="W38" i="10556" s="1"/>
  <c r="W24" i="10556"/>
  <c r="W22" i="10556"/>
  <c r="W29" i="4"/>
  <c r="W39" i="4"/>
  <c r="B131" i="10556"/>
  <c r="W43" i="4" l="1"/>
  <c r="W36" i="10556"/>
  <c r="F72" i="10556"/>
  <c r="E72" i="10556" s="1"/>
  <c r="F70" i="10556"/>
  <c r="F85" i="10556" s="1"/>
  <c r="W40" i="10556" l="1"/>
  <c r="W84" i="10556" s="1"/>
  <c r="W67" i="4"/>
  <c r="E70" i="10556"/>
  <c r="E85" i="10556" s="1"/>
  <c r="F108" i="10556"/>
  <c r="G108" i="10556"/>
  <c r="H108" i="10556"/>
  <c r="I108" i="10556"/>
  <c r="J108" i="10556"/>
  <c r="K108" i="10556"/>
  <c r="L108" i="10556"/>
  <c r="M108" i="10556"/>
  <c r="N108" i="10556"/>
  <c r="O108" i="10556"/>
  <c r="F110" i="10556"/>
  <c r="G110" i="10556"/>
  <c r="H110" i="10556"/>
  <c r="I110" i="10556"/>
  <c r="J110" i="10556"/>
  <c r="K110" i="10556"/>
  <c r="L110" i="10556"/>
  <c r="M110" i="10556"/>
  <c r="N110" i="10556"/>
  <c r="O110" i="10556"/>
  <c r="P108" i="10556"/>
  <c r="Q108" i="10556"/>
  <c r="P110" i="10556"/>
  <c r="Q110" i="10556"/>
  <c r="R108" i="10556"/>
  <c r="R110" i="10556"/>
  <c r="V85" i="10556"/>
  <c r="U85" i="10556"/>
  <c r="G85" i="10556"/>
  <c r="H85" i="10556"/>
  <c r="I85" i="10556"/>
  <c r="J85" i="10556"/>
  <c r="K85" i="10556"/>
  <c r="L85" i="10556"/>
  <c r="M85" i="10556"/>
  <c r="N85" i="10556"/>
  <c r="O85" i="10556"/>
  <c r="P85" i="10556"/>
  <c r="Q85" i="10556"/>
  <c r="R85" i="10556"/>
  <c r="S85" i="10556"/>
  <c r="T85" i="10556"/>
  <c r="B79" i="10556"/>
  <c r="C79" i="10556"/>
  <c r="D79" i="10556"/>
  <c r="E79" i="10556"/>
  <c r="F79" i="10556"/>
  <c r="F112" i="10556" s="1"/>
  <c r="G79" i="10556"/>
  <c r="G112" i="10556" s="1"/>
  <c r="H79" i="10556"/>
  <c r="H112" i="10556" s="1"/>
  <c r="I79" i="10556"/>
  <c r="I112" i="10556" s="1"/>
  <c r="J79" i="10556"/>
  <c r="J112" i="10556" s="1"/>
  <c r="K79" i="10556"/>
  <c r="K112" i="10556" s="1"/>
  <c r="L79" i="10556"/>
  <c r="L112" i="10556" s="1"/>
  <c r="M79" i="10556"/>
  <c r="M112" i="10556" s="1"/>
  <c r="N79" i="10556"/>
  <c r="N112" i="10556" s="1"/>
  <c r="O79" i="10556"/>
  <c r="O112" i="10556" s="1"/>
  <c r="P79" i="10556"/>
  <c r="P112" i="10556" s="1"/>
  <c r="Q79" i="10556"/>
  <c r="Q112" i="10556" s="1"/>
  <c r="R79" i="10556"/>
  <c r="R112" i="10556" s="1"/>
  <c r="S79" i="10556"/>
  <c r="T79" i="10556"/>
  <c r="U79" i="10556"/>
  <c r="V79" i="10556"/>
  <c r="W68" i="4" l="1"/>
  <c r="W69" i="4"/>
  <c r="W64" i="10556" s="1"/>
  <c r="W87" i="10556"/>
  <c r="W93" i="10556" s="1"/>
  <c r="W94" i="10556" s="1"/>
  <c r="W95" i="10556" s="1"/>
  <c r="S112" i="10556"/>
  <c r="T112" i="10556"/>
  <c r="G71" i="10556"/>
  <c r="G86" i="10556" s="1"/>
  <c r="H71" i="10556"/>
  <c r="I71" i="10556"/>
  <c r="I86" i="10556" s="1"/>
  <c r="J71" i="10556"/>
  <c r="J86" i="10556" s="1"/>
  <c r="K71" i="10556"/>
  <c r="K86" i="10556" s="1"/>
  <c r="L71" i="10556"/>
  <c r="L86" i="10556" s="1"/>
  <c r="M71" i="10556"/>
  <c r="M86" i="10556" s="1"/>
  <c r="N71" i="10556"/>
  <c r="N86" i="10556" s="1"/>
  <c r="O71" i="10556"/>
  <c r="O86" i="10556" s="1"/>
  <c r="P71" i="10556"/>
  <c r="P86" i="10556" s="1"/>
  <c r="Q71" i="10556"/>
  <c r="Q86" i="10556" s="1"/>
  <c r="R71" i="10556"/>
  <c r="R86" i="10556" s="1"/>
  <c r="S71" i="10556"/>
  <c r="S86" i="10556" s="1"/>
  <c r="T71" i="10556"/>
  <c r="T86" i="10556" s="1"/>
  <c r="U71" i="10556"/>
  <c r="U86" i="10556" s="1"/>
  <c r="V71" i="10556"/>
  <c r="V86" i="10556" s="1"/>
  <c r="V108" i="10556"/>
  <c r="V110" i="10556"/>
  <c r="S108" i="10556"/>
  <c r="S110" i="10556"/>
  <c r="T108" i="10556"/>
  <c r="T110" i="10556"/>
  <c r="U112" i="10556"/>
  <c r="U110" i="10556"/>
  <c r="U108" i="10556"/>
  <c r="G58" i="10556"/>
  <c r="H58" i="10556"/>
  <c r="I58" i="10556"/>
  <c r="J58" i="10556"/>
  <c r="K58" i="10556"/>
  <c r="L58" i="10556"/>
  <c r="M58" i="10556"/>
  <c r="N58" i="10556"/>
  <c r="O58" i="10556"/>
  <c r="P58" i="10556"/>
  <c r="Q58" i="10556"/>
  <c r="R58" i="10556"/>
  <c r="S58" i="10556"/>
  <c r="T58" i="10556"/>
  <c r="U58" i="10556"/>
  <c r="V58" i="10556"/>
  <c r="G59" i="10556"/>
  <c r="H59" i="10556"/>
  <c r="I59" i="10556"/>
  <c r="J59" i="10556"/>
  <c r="K59" i="10556"/>
  <c r="L59" i="10556"/>
  <c r="M59" i="10556"/>
  <c r="N59" i="10556"/>
  <c r="O59" i="10556"/>
  <c r="P59" i="10556"/>
  <c r="Q59" i="10556"/>
  <c r="R59" i="10556"/>
  <c r="S59" i="10556"/>
  <c r="T59" i="10556"/>
  <c r="U59" i="10556"/>
  <c r="V59" i="10556"/>
  <c r="F59" i="10556"/>
  <c r="C43" i="10556"/>
  <c r="D43" i="10556"/>
  <c r="E43" i="10556"/>
  <c r="F43" i="10556"/>
  <c r="G43" i="10556"/>
  <c r="H43" i="10556"/>
  <c r="I43" i="10556"/>
  <c r="J43" i="10556"/>
  <c r="K43" i="10556"/>
  <c r="L43" i="10556"/>
  <c r="M43" i="10556"/>
  <c r="N43" i="10556"/>
  <c r="O43" i="10556"/>
  <c r="P43" i="10556"/>
  <c r="Q43" i="10556"/>
  <c r="R43" i="10556"/>
  <c r="S43" i="10556"/>
  <c r="T43" i="10556"/>
  <c r="U43" i="10556"/>
  <c r="V43" i="10556"/>
  <c r="D44" i="10556"/>
  <c r="E44" i="10556"/>
  <c r="F44" i="10556"/>
  <c r="G44" i="10556"/>
  <c r="H44" i="10556"/>
  <c r="I44" i="10556"/>
  <c r="J44" i="10556"/>
  <c r="K44" i="10556"/>
  <c r="L44" i="10556"/>
  <c r="M44" i="10556"/>
  <c r="N44" i="10556"/>
  <c r="O44" i="10556"/>
  <c r="P44" i="10556"/>
  <c r="Q44" i="10556"/>
  <c r="R44" i="10556"/>
  <c r="S44" i="10556"/>
  <c r="T44" i="10556"/>
  <c r="U44" i="10556"/>
  <c r="V44" i="10556"/>
  <c r="C45" i="10556"/>
  <c r="D45" i="10556"/>
  <c r="E45" i="10556"/>
  <c r="F45" i="10556"/>
  <c r="G45" i="10556"/>
  <c r="H45" i="10556"/>
  <c r="I45" i="10556"/>
  <c r="J45" i="10556"/>
  <c r="K45" i="10556"/>
  <c r="L45" i="10556"/>
  <c r="M45" i="10556"/>
  <c r="N45" i="10556"/>
  <c r="O45" i="10556"/>
  <c r="P45" i="10556"/>
  <c r="Q45" i="10556"/>
  <c r="R45" i="10556"/>
  <c r="S45" i="10556"/>
  <c r="T45" i="10556"/>
  <c r="U45" i="10556"/>
  <c r="V45" i="10556"/>
  <c r="C46" i="10556"/>
  <c r="F46" i="10556"/>
  <c r="G46" i="10556"/>
  <c r="H46" i="10556"/>
  <c r="I46" i="10556"/>
  <c r="J46" i="10556"/>
  <c r="K46" i="10556"/>
  <c r="L46" i="10556"/>
  <c r="M46" i="10556"/>
  <c r="N46" i="10556"/>
  <c r="O46" i="10556"/>
  <c r="P46" i="10556"/>
  <c r="Q46" i="10556"/>
  <c r="R46" i="10556"/>
  <c r="S46" i="10556"/>
  <c r="T46" i="10556"/>
  <c r="U46" i="10556"/>
  <c r="V46" i="10556"/>
  <c r="C47" i="10556"/>
  <c r="F47" i="10556"/>
  <c r="G47" i="10556"/>
  <c r="H47" i="10556"/>
  <c r="I47" i="10556"/>
  <c r="J47" i="10556"/>
  <c r="K47" i="10556"/>
  <c r="L47" i="10556"/>
  <c r="M47" i="10556"/>
  <c r="N47" i="10556"/>
  <c r="O47" i="10556"/>
  <c r="P47" i="10556"/>
  <c r="Q47" i="10556"/>
  <c r="R47" i="10556"/>
  <c r="S47" i="10556"/>
  <c r="T47" i="10556"/>
  <c r="U47" i="10556"/>
  <c r="V47" i="10556"/>
  <c r="B45" i="10556"/>
  <c r="B46" i="10556"/>
  <c r="B47" i="10556"/>
  <c r="B43" i="10556"/>
  <c r="C29" i="10556"/>
  <c r="D29" i="10556"/>
  <c r="E29" i="10556"/>
  <c r="F29" i="10556"/>
  <c r="G29" i="10556"/>
  <c r="H29" i="10556"/>
  <c r="I29" i="10556"/>
  <c r="J29" i="10556"/>
  <c r="K29" i="10556"/>
  <c r="L29" i="10556"/>
  <c r="M29" i="10556"/>
  <c r="N29" i="10556"/>
  <c r="O29" i="10556"/>
  <c r="R29" i="10556"/>
  <c r="S29" i="10556"/>
  <c r="V29" i="10556"/>
  <c r="C30" i="10556"/>
  <c r="D30" i="10556"/>
  <c r="E30" i="10556"/>
  <c r="F30" i="10556"/>
  <c r="G30" i="10556"/>
  <c r="H30" i="10556"/>
  <c r="I30" i="10556"/>
  <c r="J30" i="10556"/>
  <c r="K30" i="10556"/>
  <c r="L30" i="10556"/>
  <c r="M30" i="10556"/>
  <c r="N30" i="10556"/>
  <c r="O30" i="10556"/>
  <c r="R30" i="10556"/>
  <c r="S30" i="10556"/>
  <c r="V30" i="10556"/>
  <c r="C31" i="10556"/>
  <c r="D31" i="10556"/>
  <c r="E31" i="10556"/>
  <c r="F31" i="10556"/>
  <c r="G31" i="10556"/>
  <c r="H31" i="10556"/>
  <c r="I31" i="10556"/>
  <c r="J31" i="10556"/>
  <c r="K31" i="10556"/>
  <c r="L31" i="10556"/>
  <c r="M31" i="10556"/>
  <c r="N31" i="10556"/>
  <c r="O31" i="10556"/>
  <c r="R31" i="10556"/>
  <c r="S31" i="10556"/>
  <c r="V31" i="10556"/>
  <c r="C32" i="10556"/>
  <c r="D32" i="10556"/>
  <c r="E32" i="10556"/>
  <c r="F32" i="10556"/>
  <c r="G32" i="10556"/>
  <c r="H32" i="10556"/>
  <c r="I32" i="10556"/>
  <c r="J32" i="10556"/>
  <c r="K32" i="10556"/>
  <c r="L32" i="10556"/>
  <c r="M32" i="10556"/>
  <c r="N32" i="10556"/>
  <c r="O32" i="10556"/>
  <c r="R32" i="10556"/>
  <c r="S32" i="10556"/>
  <c r="V32" i="10556"/>
  <c r="B30" i="10556"/>
  <c r="B31" i="10556"/>
  <c r="B32" i="10556"/>
  <c r="B29" i="10556"/>
  <c r="C3" i="10556"/>
  <c r="D3" i="10556"/>
  <c r="E3" i="10556"/>
  <c r="F3" i="10556"/>
  <c r="K3" i="10556"/>
  <c r="L3" i="10556"/>
  <c r="M3" i="10556"/>
  <c r="N3" i="10556"/>
  <c r="O3" i="10556"/>
  <c r="P3" i="10556"/>
  <c r="Q3" i="10556"/>
  <c r="R3" i="10556"/>
  <c r="S3" i="10556"/>
  <c r="T3" i="10556"/>
  <c r="U3" i="10556"/>
  <c r="V3" i="10556"/>
  <c r="C6" i="10556"/>
  <c r="D6" i="10556"/>
  <c r="E6" i="10556"/>
  <c r="F6" i="10556"/>
  <c r="G6" i="10556"/>
  <c r="H6" i="10556"/>
  <c r="I6" i="10556"/>
  <c r="J6" i="10556"/>
  <c r="K6" i="10556"/>
  <c r="L6" i="10556"/>
  <c r="M6" i="10556"/>
  <c r="N6" i="10556"/>
  <c r="O6" i="10556"/>
  <c r="P6" i="10556"/>
  <c r="Q6" i="10556"/>
  <c r="R6" i="10556"/>
  <c r="S6" i="10556"/>
  <c r="T6" i="10556"/>
  <c r="U6" i="10556"/>
  <c r="V6" i="10556"/>
  <c r="C9" i="10556"/>
  <c r="D9" i="10556"/>
  <c r="E9" i="10556"/>
  <c r="F9" i="10556"/>
  <c r="G9" i="10556"/>
  <c r="H9" i="10556"/>
  <c r="I9" i="10556"/>
  <c r="J9" i="10556"/>
  <c r="K9" i="10556"/>
  <c r="L9" i="10556"/>
  <c r="M9" i="10556"/>
  <c r="N9" i="10556"/>
  <c r="O9" i="10556"/>
  <c r="P9" i="10556"/>
  <c r="Q9" i="10556"/>
  <c r="R9" i="10556"/>
  <c r="S9" i="10556"/>
  <c r="T9" i="10556"/>
  <c r="U9" i="10556"/>
  <c r="V9" i="10556"/>
  <c r="C11" i="10556"/>
  <c r="D11" i="10556"/>
  <c r="E11" i="10556"/>
  <c r="F11" i="10556"/>
  <c r="G11" i="10556"/>
  <c r="H11" i="10556"/>
  <c r="I11" i="10556"/>
  <c r="J11" i="10556"/>
  <c r="K11" i="10556"/>
  <c r="L11" i="10556"/>
  <c r="M11" i="10556"/>
  <c r="N11" i="10556"/>
  <c r="O11" i="10556"/>
  <c r="P11" i="10556"/>
  <c r="Q11" i="10556"/>
  <c r="R11" i="10556"/>
  <c r="S11" i="10556"/>
  <c r="T11" i="10556"/>
  <c r="U11" i="10556"/>
  <c r="V11" i="10556"/>
  <c r="C12" i="10556"/>
  <c r="D12" i="10556"/>
  <c r="E12" i="10556"/>
  <c r="F12" i="10556"/>
  <c r="G12" i="10556"/>
  <c r="H12" i="10556"/>
  <c r="I12" i="10556"/>
  <c r="J12" i="10556"/>
  <c r="K12" i="10556"/>
  <c r="L12" i="10556"/>
  <c r="M12" i="10556"/>
  <c r="N12" i="10556"/>
  <c r="O12" i="10556"/>
  <c r="P12" i="10556"/>
  <c r="Q12" i="10556"/>
  <c r="R12" i="10556"/>
  <c r="S12" i="10556"/>
  <c r="T12" i="10556"/>
  <c r="U12" i="10556"/>
  <c r="V12" i="10556"/>
  <c r="C13" i="10556"/>
  <c r="D13" i="10556"/>
  <c r="E13" i="10556"/>
  <c r="F13" i="10556"/>
  <c r="G13" i="10556"/>
  <c r="H13" i="10556"/>
  <c r="I13" i="10556"/>
  <c r="J13" i="10556"/>
  <c r="K13" i="10556"/>
  <c r="L13" i="10556"/>
  <c r="M13" i="10556"/>
  <c r="N13" i="10556"/>
  <c r="O13" i="10556"/>
  <c r="P13" i="10556"/>
  <c r="Q13" i="10556"/>
  <c r="R13" i="10556"/>
  <c r="S13" i="10556"/>
  <c r="T13" i="10556"/>
  <c r="U13" i="10556"/>
  <c r="V13" i="10556"/>
  <c r="C14" i="10556"/>
  <c r="D14" i="10556"/>
  <c r="E14" i="10556"/>
  <c r="F14" i="10556"/>
  <c r="G14" i="10556"/>
  <c r="H14" i="10556"/>
  <c r="I14" i="10556"/>
  <c r="J14" i="10556"/>
  <c r="K14" i="10556"/>
  <c r="L14" i="10556"/>
  <c r="M14" i="10556"/>
  <c r="N14" i="10556"/>
  <c r="O14" i="10556"/>
  <c r="P14" i="10556"/>
  <c r="Q14" i="10556"/>
  <c r="R14" i="10556"/>
  <c r="S14" i="10556"/>
  <c r="T14" i="10556"/>
  <c r="U14" i="10556"/>
  <c r="V14" i="10556"/>
  <c r="C16" i="10556"/>
  <c r="D16" i="10556"/>
  <c r="E16" i="10556"/>
  <c r="F16" i="10556"/>
  <c r="G16" i="10556"/>
  <c r="H16" i="10556"/>
  <c r="I16" i="10556"/>
  <c r="J16" i="10556"/>
  <c r="K16" i="10556"/>
  <c r="L16" i="10556"/>
  <c r="M16" i="10556"/>
  <c r="N16" i="10556"/>
  <c r="O16" i="10556"/>
  <c r="P16" i="10556"/>
  <c r="Q16" i="10556"/>
  <c r="R16" i="10556"/>
  <c r="S16" i="10556"/>
  <c r="T16" i="10556"/>
  <c r="U16" i="10556"/>
  <c r="V16" i="10556"/>
  <c r="C17" i="10556"/>
  <c r="D17" i="10556"/>
  <c r="E17" i="10556"/>
  <c r="F17" i="10556"/>
  <c r="G17" i="10556"/>
  <c r="H17" i="10556"/>
  <c r="I17" i="10556"/>
  <c r="J17" i="10556"/>
  <c r="K17" i="10556"/>
  <c r="L17" i="10556"/>
  <c r="M17" i="10556"/>
  <c r="N17" i="10556"/>
  <c r="O17" i="10556"/>
  <c r="P17" i="10556"/>
  <c r="Q17" i="10556"/>
  <c r="R17" i="10556"/>
  <c r="S17" i="10556"/>
  <c r="T17" i="10556"/>
  <c r="U17" i="10556"/>
  <c r="V17" i="10556"/>
  <c r="U19" i="10556"/>
  <c r="V19" i="10556"/>
  <c r="B6" i="10556"/>
  <c r="B9" i="10556"/>
  <c r="B11" i="10556"/>
  <c r="B12" i="10556"/>
  <c r="B13" i="10556"/>
  <c r="B14" i="10556"/>
  <c r="B16" i="10556"/>
  <c r="B17" i="10556"/>
  <c r="B3" i="10556"/>
  <c r="A11" i="10556"/>
  <c r="A12" i="10556"/>
  <c r="A13" i="10556"/>
  <c r="A14" i="10556"/>
  <c r="A20" i="10556"/>
  <c r="A22" i="10556"/>
  <c r="A23" i="10556"/>
  <c r="A24" i="10556"/>
  <c r="A25" i="10556"/>
  <c r="A26" i="10556"/>
  <c r="A29" i="10556"/>
  <c r="A30" i="10556"/>
  <c r="A31" i="10556"/>
  <c r="A32" i="10556"/>
  <c r="A33" i="10556"/>
  <c r="A36" i="10556"/>
  <c r="A37" i="10556"/>
  <c r="A38" i="10556"/>
  <c r="A39" i="10556"/>
  <c r="A43" i="10556"/>
  <c r="A44" i="10556"/>
  <c r="A45" i="10556"/>
  <c r="A46" i="10556"/>
  <c r="A47" i="10556"/>
  <c r="A50" i="10556"/>
  <c r="A51" i="10556"/>
  <c r="A52" i="10556"/>
  <c r="A53" i="10556"/>
  <c r="A57" i="10556"/>
  <c r="A58" i="10556"/>
  <c r="A59" i="10556"/>
  <c r="A60" i="10556"/>
  <c r="A61" i="10556"/>
  <c r="A62" i="10556"/>
  <c r="A6" i="10556"/>
  <c r="A7" i="10556"/>
  <c r="R60" i="4"/>
  <c r="F61" i="4"/>
  <c r="B85" i="4"/>
  <c r="U75" i="4"/>
  <c r="V75" i="4"/>
  <c r="V89" i="4"/>
  <c r="V77" i="4"/>
  <c r="V64" i="4"/>
  <c r="V65" i="4" s="1"/>
  <c r="F56" i="4"/>
  <c r="G56" i="4"/>
  <c r="H56" i="4"/>
  <c r="I56" i="4"/>
  <c r="J56" i="4"/>
  <c r="K56" i="4"/>
  <c r="L56" i="4"/>
  <c r="M56" i="4"/>
  <c r="N56" i="4"/>
  <c r="O56" i="4"/>
  <c r="R56" i="4"/>
  <c r="S56" i="4"/>
  <c r="V56" i="4"/>
  <c r="V53" i="4"/>
  <c r="V54" i="4"/>
  <c r="V55" i="4"/>
  <c r="V51" i="4"/>
  <c r="F51" i="4"/>
  <c r="E51" i="4"/>
  <c r="V17" i="4"/>
  <c r="V22" i="4" s="1"/>
  <c r="U89" i="4"/>
  <c r="U93" i="4" s="1"/>
  <c r="T89" i="4"/>
  <c r="T93" i="4" s="1"/>
  <c r="S89" i="4"/>
  <c r="S93" i="4" s="1"/>
  <c r="R89" i="4"/>
  <c r="R93" i="4" s="1"/>
  <c r="Q89" i="4"/>
  <c r="Q93" i="4" s="1"/>
  <c r="P89" i="4"/>
  <c r="P93" i="4" s="1"/>
  <c r="M89" i="4"/>
  <c r="U77" i="4"/>
  <c r="U80" i="4" s="1"/>
  <c r="U35" i="4"/>
  <c r="U32" i="10556" s="1"/>
  <c r="U34" i="4"/>
  <c r="U31" i="10556" s="1"/>
  <c r="U33" i="4"/>
  <c r="U30" i="10556" s="1"/>
  <c r="U32" i="4"/>
  <c r="U29" i="10556" s="1"/>
  <c r="U17" i="4"/>
  <c r="U28" i="4" s="1"/>
  <c r="O89" i="4"/>
  <c r="O93" i="4" s="1"/>
  <c r="N89" i="4"/>
  <c r="N93" i="4" s="1"/>
  <c r="E89" i="4"/>
  <c r="E93" i="4" s="1"/>
  <c r="F89" i="4"/>
  <c r="G89" i="4"/>
  <c r="G93" i="4" s="1"/>
  <c r="H89" i="4"/>
  <c r="H93" i="4" s="1"/>
  <c r="I89" i="4"/>
  <c r="I93" i="4" s="1"/>
  <c r="J89" i="4"/>
  <c r="J93" i="4" s="1"/>
  <c r="K89" i="4"/>
  <c r="L89" i="4"/>
  <c r="L93" i="4" s="1"/>
  <c r="D89" i="4"/>
  <c r="D93" i="4" s="1"/>
  <c r="E77" i="4"/>
  <c r="E80" i="4" s="1"/>
  <c r="J77" i="4"/>
  <c r="J80" i="4" s="1"/>
  <c r="R75" i="4"/>
  <c r="R77" i="4"/>
  <c r="R80" i="4" s="1"/>
  <c r="S77" i="4"/>
  <c r="T77" i="4"/>
  <c r="R64" i="4"/>
  <c r="R65" i="4" s="1"/>
  <c r="S64" i="4"/>
  <c r="S65" i="4" s="1"/>
  <c r="D54" i="4"/>
  <c r="D51" i="10556" s="1"/>
  <c r="D53" i="4"/>
  <c r="D50" i="10556" s="1"/>
  <c r="E53" i="4"/>
  <c r="F53" i="4"/>
  <c r="G53" i="4"/>
  <c r="H53" i="4"/>
  <c r="I53" i="4"/>
  <c r="J53" i="4"/>
  <c r="K53" i="4"/>
  <c r="L53" i="4"/>
  <c r="M53" i="4"/>
  <c r="N53" i="4"/>
  <c r="O53" i="4"/>
  <c r="R53" i="4"/>
  <c r="S53" i="4"/>
  <c r="E54" i="4"/>
  <c r="F54" i="4"/>
  <c r="G54" i="4"/>
  <c r="H54" i="4"/>
  <c r="I54" i="4"/>
  <c r="J54" i="4"/>
  <c r="K54" i="4"/>
  <c r="L54" i="4"/>
  <c r="M54" i="4"/>
  <c r="N54" i="4"/>
  <c r="O54" i="4"/>
  <c r="R54" i="4"/>
  <c r="S54" i="4"/>
  <c r="T35" i="4"/>
  <c r="T32" i="10556" s="1"/>
  <c r="T34" i="4"/>
  <c r="T55" i="4" s="1"/>
  <c r="T33" i="4"/>
  <c r="T30" i="10556" s="1"/>
  <c r="T32" i="4"/>
  <c r="T17" i="4"/>
  <c r="T15" i="10556" s="1"/>
  <c r="G7" i="4"/>
  <c r="B17" i="4"/>
  <c r="B15" i="10556" s="1"/>
  <c r="C17" i="4"/>
  <c r="C15" i="10556" s="1"/>
  <c r="D17" i="4"/>
  <c r="D15" i="10556" s="1"/>
  <c r="E17" i="4"/>
  <c r="E15" i="10556" s="1"/>
  <c r="G17" i="4"/>
  <c r="G15" i="10556" s="1"/>
  <c r="H17" i="4"/>
  <c r="H15" i="10556" s="1"/>
  <c r="I17" i="4"/>
  <c r="I15" i="10556" s="1"/>
  <c r="J17" i="4"/>
  <c r="J15" i="10556" s="1"/>
  <c r="K17" i="4"/>
  <c r="K15" i="10556" s="1"/>
  <c r="L17" i="4"/>
  <c r="L15" i="10556" s="1"/>
  <c r="M17" i="4"/>
  <c r="M15" i="10556" s="1"/>
  <c r="N17" i="4"/>
  <c r="N15" i="10556" s="1"/>
  <c r="O17" i="4"/>
  <c r="O15" i="10556" s="1"/>
  <c r="P17" i="4"/>
  <c r="P15" i="10556" s="1"/>
  <c r="Q17" i="4"/>
  <c r="Q15" i="10556" s="1"/>
  <c r="R17" i="4"/>
  <c r="S17" i="4"/>
  <c r="S21" i="4" s="1"/>
  <c r="S19" i="10556" s="1"/>
  <c r="P32" i="4"/>
  <c r="Q32" i="4"/>
  <c r="Q29" i="10556" s="1"/>
  <c r="P33" i="4"/>
  <c r="P30" i="10556" s="1"/>
  <c r="Q33" i="4"/>
  <c r="Q30" i="10556" s="1"/>
  <c r="P34" i="4"/>
  <c r="P31" i="10556" s="1"/>
  <c r="Q34" i="4"/>
  <c r="Q31" i="10556" s="1"/>
  <c r="P35" i="4"/>
  <c r="Q35" i="4"/>
  <c r="Q32" i="10556" s="1"/>
  <c r="B47" i="4"/>
  <c r="B44" i="10556" s="1"/>
  <c r="C47" i="4"/>
  <c r="C44" i="10556" s="1"/>
  <c r="B77" i="4"/>
  <c r="B80" i="4" s="1"/>
  <c r="F17" i="4"/>
  <c r="F15" i="10556" s="1"/>
  <c r="L77" i="4"/>
  <c r="L80" i="4" s="1"/>
  <c r="O77" i="4"/>
  <c r="C77" i="4"/>
  <c r="D75" i="4"/>
  <c r="F77" i="4"/>
  <c r="F80" i="4" s="1"/>
  <c r="E75" i="4"/>
  <c r="Q77" i="4"/>
  <c r="G77" i="4"/>
  <c r="P77" i="4"/>
  <c r="Q75" i="4"/>
  <c r="H75" i="4"/>
  <c r="S75" i="4"/>
  <c r="L75" i="4"/>
  <c r="M75" i="4"/>
  <c r="F75" i="4"/>
  <c r="P75" i="4"/>
  <c r="N77" i="4"/>
  <c r="N80" i="4" s="1"/>
  <c r="H77" i="4"/>
  <c r="I75" i="4"/>
  <c r="J75" i="4"/>
  <c r="K75" i="4"/>
  <c r="I77" i="4"/>
  <c r="I80" i="4" s="1"/>
  <c r="G75" i="4"/>
  <c r="K77" i="4"/>
  <c r="M77" i="4"/>
  <c r="N75" i="4"/>
  <c r="O75" i="4"/>
  <c r="T75" i="4"/>
  <c r="D77" i="4"/>
  <c r="M80" i="4"/>
  <c r="J64" i="4"/>
  <c r="J65" i="4" s="1"/>
  <c r="M64" i="4"/>
  <c r="M65" i="4" s="1"/>
  <c r="K64" i="4"/>
  <c r="K65" i="4" s="1"/>
  <c r="N55" i="4"/>
  <c r="H64" i="4"/>
  <c r="H65" i="4" s="1"/>
  <c r="G64" i="4"/>
  <c r="G65" i="4" s="1"/>
  <c r="I64" i="4"/>
  <c r="I65" i="4" s="1"/>
  <c r="O64" i="4"/>
  <c r="O65" i="4" s="1"/>
  <c r="N64" i="4"/>
  <c r="N65" i="4" s="1"/>
  <c r="F55" i="4"/>
  <c r="M21" i="4"/>
  <c r="M19" i="10556" s="1"/>
  <c r="M22" i="4"/>
  <c r="M27" i="4"/>
  <c r="M87" i="4" s="1"/>
  <c r="M79" i="4" s="1"/>
  <c r="Q53" i="4"/>
  <c r="L64" i="4"/>
  <c r="L65" i="4" s="1"/>
  <c r="K55" i="4"/>
  <c r="I55" i="4"/>
  <c r="L55" i="4"/>
  <c r="H55" i="4"/>
  <c r="O55" i="4"/>
  <c r="S55" i="4"/>
  <c r="G55" i="4"/>
  <c r="R55" i="4"/>
  <c r="M55" i="4"/>
  <c r="J55" i="4"/>
  <c r="D27" i="4"/>
  <c r="D24" i="10556" s="1"/>
  <c r="E21" i="4"/>
  <c r="E19" i="10556" s="1"/>
  <c r="K22" i="4"/>
  <c r="U53" i="4" l="1"/>
  <c r="S27" i="4"/>
  <c r="G25" i="4"/>
  <c r="S28" i="4"/>
  <c r="S90" i="4" s="1"/>
  <c r="S100" i="4" s="1"/>
  <c r="G22" i="4"/>
  <c r="T54" i="4"/>
  <c r="W88" i="10556"/>
  <c r="K21" i="4"/>
  <c r="K19" i="10556" s="1"/>
  <c r="K20" i="10556" s="1"/>
  <c r="V15" i="10556"/>
  <c r="V25" i="4"/>
  <c r="V28" i="4"/>
  <c r="V26" i="4"/>
  <c r="V27" i="4"/>
  <c r="D21" i="4"/>
  <c r="D19" i="10556" s="1"/>
  <c r="L27" i="4"/>
  <c r="L41" i="4" s="1"/>
  <c r="P25" i="4"/>
  <c r="P22" i="10556" s="1"/>
  <c r="H7" i="4"/>
  <c r="G95" i="4"/>
  <c r="G105" i="4"/>
  <c r="G112" i="4"/>
  <c r="M25" i="4"/>
  <c r="M22" i="10556" s="1"/>
  <c r="M36" i="10556" s="1"/>
  <c r="M28" i="4"/>
  <c r="M25" i="10556" s="1"/>
  <c r="Q26" i="4"/>
  <c r="Q40" i="4" s="1"/>
  <c r="F25" i="4"/>
  <c r="F22" i="10556" s="1"/>
  <c r="F36" i="10556" s="1"/>
  <c r="J28" i="4"/>
  <c r="J25" i="10556" s="1"/>
  <c r="J39" i="10556" s="1"/>
  <c r="E36" i="4"/>
  <c r="E33" i="10556" s="1"/>
  <c r="N78" i="4"/>
  <c r="D36" i="4"/>
  <c r="D33" i="10556" s="1"/>
  <c r="P55" i="4"/>
  <c r="P27" i="4"/>
  <c r="P87" i="4" s="1"/>
  <c r="P88" i="4" s="1"/>
  <c r="P92" i="4" s="1"/>
  <c r="J27" i="4"/>
  <c r="J41" i="4" s="1"/>
  <c r="I22" i="4"/>
  <c r="F28" i="4"/>
  <c r="F90" i="4" s="1"/>
  <c r="F100" i="4" s="1"/>
  <c r="M26" i="4"/>
  <c r="M23" i="10556" s="1"/>
  <c r="M37" i="10556" s="1"/>
  <c r="Q25" i="4"/>
  <c r="Q22" i="10556" s="1"/>
  <c r="Q36" i="10556" s="1"/>
  <c r="U78" i="4"/>
  <c r="U55" i="4"/>
  <c r="H22" i="4"/>
  <c r="D78" i="4"/>
  <c r="K25" i="4"/>
  <c r="K39" i="4" s="1"/>
  <c r="M42" i="4"/>
  <c r="G27" i="4"/>
  <c r="O27" i="4"/>
  <c r="O41" i="4" s="1"/>
  <c r="L78" i="4"/>
  <c r="M39" i="4"/>
  <c r="C28" i="4"/>
  <c r="O26" i="4"/>
  <c r="O23" i="10556" s="1"/>
  <c r="O37" i="10556" s="1"/>
  <c r="E78" i="4"/>
  <c r="M40" i="4"/>
  <c r="C80" i="4"/>
  <c r="M36" i="4"/>
  <c r="M33" i="10556" s="1"/>
  <c r="D26" i="4"/>
  <c r="D23" i="10556" s="1"/>
  <c r="D37" i="10556" s="1"/>
  <c r="D25" i="4"/>
  <c r="Q39" i="4"/>
  <c r="B27" i="4"/>
  <c r="B87" i="4" s="1"/>
  <c r="I28" i="4"/>
  <c r="I42" i="4" s="1"/>
  <c r="K26" i="4"/>
  <c r="K86" i="4" s="1"/>
  <c r="K98" i="4" s="1"/>
  <c r="B25" i="4"/>
  <c r="B22" i="10556" s="1"/>
  <c r="B36" i="10556" s="1"/>
  <c r="N27" i="4"/>
  <c r="N24" i="10556" s="1"/>
  <c r="N38" i="10556" s="1"/>
  <c r="F39" i="4"/>
  <c r="D22" i="4"/>
  <c r="Q21" i="4"/>
  <c r="Q19" i="10556" s="1"/>
  <c r="Q20" i="10556" s="1"/>
  <c r="H27" i="4"/>
  <c r="B21" i="4"/>
  <c r="B19" i="10556" s="1"/>
  <c r="B20" i="10556" s="1"/>
  <c r="D28" i="4"/>
  <c r="D25" i="10556" s="1"/>
  <c r="D39" i="10556" s="1"/>
  <c r="R78" i="4"/>
  <c r="O57" i="4"/>
  <c r="O58" i="4" s="1"/>
  <c r="G57" i="4"/>
  <c r="G58" i="4" s="1"/>
  <c r="B28" i="4"/>
  <c r="B25" i="10556" s="1"/>
  <c r="B39" i="10556" s="1"/>
  <c r="D41" i="4"/>
  <c r="B22" i="4"/>
  <c r="I21" i="4"/>
  <c r="I19" i="10556" s="1"/>
  <c r="I20" i="10556" s="1"/>
  <c r="K27" i="4"/>
  <c r="H57" i="4"/>
  <c r="H58" i="4" s="1"/>
  <c r="F21" i="4"/>
  <c r="F19" i="10556" s="1"/>
  <c r="F20" i="10556" s="1"/>
  <c r="F27" i="4"/>
  <c r="F24" i="10556" s="1"/>
  <c r="F38" i="10556" s="1"/>
  <c r="F78" i="4"/>
  <c r="I36" i="4"/>
  <c r="I33" i="10556" s="1"/>
  <c r="B36" i="4"/>
  <c r="O36" i="4"/>
  <c r="O33" i="10556" s="1"/>
  <c r="V36" i="4"/>
  <c r="V33" i="10556" s="1"/>
  <c r="L25" i="4"/>
  <c r="L39" i="4" s="1"/>
  <c r="T26" i="4"/>
  <c r="T40" i="4" s="1"/>
  <c r="T37" i="10556" s="1"/>
  <c r="G26" i="4"/>
  <c r="G86" i="4" s="1"/>
  <c r="O28" i="4"/>
  <c r="O25" i="10556" s="1"/>
  <c r="O39" i="10556" s="1"/>
  <c r="L22" i="4"/>
  <c r="C21" i="4"/>
  <c r="C19" i="10556" s="1"/>
  <c r="C20" i="10556" s="1"/>
  <c r="E22" i="4"/>
  <c r="N21" i="4"/>
  <c r="N19" i="10556" s="1"/>
  <c r="N20" i="10556" s="1"/>
  <c r="N36" i="4"/>
  <c r="N33" i="10556" s="1"/>
  <c r="G28" i="4"/>
  <c r="G42" i="4" s="1"/>
  <c r="F22" i="4"/>
  <c r="Q27" i="4"/>
  <c r="Q24" i="10556" s="1"/>
  <c r="Q38" i="10556" s="1"/>
  <c r="F36" i="4"/>
  <c r="F33" i="10556" s="1"/>
  <c r="S78" i="4"/>
  <c r="K36" i="4"/>
  <c r="K33" i="10556" s="1"/>
  <c r="I25" i="4"/>
  <c r="I83" i="4" s="1"/>
  <c r="B26" i="4"/>
  <c r="B23" i="10556" s="1"/>
  <c r="B37" i="10556" s="1"/>
  <c r="I26" i="4"/>
  <c r="I23" i="10556" s="1"/>
  <c r="I37" i="10556" s="1"/>
  <c r="I27" i="4"/>
  <c r="I41" i="4" s="1"/>
  <c r="D80" i="4"/>
  <c r="C36" i="4"/>
  <c r="C33" i="10556" s="1"/>
  <c r="C22" i="4"/>
  <c r="G21" i="4"/>
  <c r="G19" i="10556" s="1"/>
  <c r="G20" i="10556" s="1"/>
  <c r="P22" i="4"/>
  <c r="T25" i="4"/>
  <c r="T22" i="10556" s="1"/>
  <c r="O21" i="4"/>
  <c r="O19" i="10556" s="1"/>
  <c r="O20" i="10556" s="1"/>
  <c r="Q22" i="4"/>
  <c r="F26" i="4"/>
  <c r="F23" i="10556" s="1"/>
  <c r="F37" i="10556" s="1"/>
  <c r="K28" i="4"/>
  <c r="P80" i="4"/>
  <c r="P28" i="4"/>
  <c r="P90" i="4" s="1"/>
  <c r="P100" i="4" s="1"/>
  <c r="O25" i="4"/>
  <c r="Q28" i="4"/>
  <c r="Q90" i="4" s="1"/>
  <c r="Q100" i="4" s="1"/>
  <c r="O22" i="4"/>
  <c r="G36" i="4"/>
  <c r="G33" i="10556" s="1"/>
  <c r="T78" i="4"/>
  <c r="G78" i="4"/>
  <c r="I7" i="4"/>
  <c r="H28" i="4"/>
  <c r="H25" i="10556" s="1"/>
  <c r="H39" i="10556" s="1"/>
  <c r="N26" i="4"/>
  <c r="N86" i="4" s="1"/>
  <c r="N28" i="4"/>
  <c r="J21" i="4"/>
  <c r="J19" i="10556" s="1"/>
  <c r="J20" i="10556" s="1"/>
  <c r="J36" i="4"/>
  <c r="J33" i="10556" s="1"/>
  <c r="M41" i="4"/>
  <c r="T28" i="4"/>
  <c r="J42" i="4"/>
  <c r="Q54" i="4"/>
  <c r="N22" i="4"/>
  <c r="H36" i="4"/>
  <c r="H33" i="10556" s="1"/>
  <c r="E26" i="4"/>
  <c r="E40" i="4" s="1"/>
  <c r="Q80" i="4"/>
  <c r="K78" i="4"/>
  <c r="J22" i="4"/>
  <c r="T27" i="4"/>
  <c r="T87" i="4" s="1"/>
  <c r="C26" i="4"/>
  <c r="C23" i="10556" s="1"/>
  <c r="C37" i="10556" s="1"/>
  <c r="P21" i="4"/>
  <c r="P19" i="10556" s="1"/>
  <c r="P20" i="10556" s="1"/>
  <c r="N25" i="4"/>
  <c r="N83" i="4" s="1"/>
  <c r="L28" i="4"/>
  <c r="L90" i="4" s="1"/>
  <c r="L100" i="4" s="1"/>
  <c r="J25" i="4"/>
  <c r="J39" i="4" s="1"/>
  <c r="H26" i="4"/>
  <c r="H40" i="4" s="1"/>
  <c r="E27" i="4"/>
  <c r="E41" i="4" s="1"/>
  <c r="C25" i="4"/>
  <c r="C39" i="4" s="1"/>
  <c r="V78" i="4"/>
  <c r="U54" i="4"/>
  <c r="U56" i="4"/>
  <c r="T56" i="4"/>
  <c r="V93" i="4"/>
  <c r="M90" i="4"/>
  <c r="M100" i="4" s="1"/>
  <c r="M83" i="4"/>
  <c r="J78" i="4"/>
  <c r="T21" i="4"/>
  <c r="T19" i="10556" s="1"/>
  <c r="T20" i="10556" s="1"/>
  <c r="L57" i="4"/>
  <c r="L58" i="4" s="1"/>
  <c r="S80" i="4"/>
  <c r="K93" i="4"/>
  <c r="F83" i="4"/>
  <c r="F85" i="4" s="1"/>
  <c r="F84" i="4" s="1"/>
  <c r="F93" i="4"/>
  <c r="M88" i="4"/>
  <c r="M93" i="4"/>
  <c r="V57" i="4"/>
  <c r="V58" i="4" s="1"/>
  <c r="H25" i="4"/>
  <c r="H22" i="10556" s="1"/>
  <c r="H36" i="10556" s="1"/>
  <c r="P26" i="4"/>
  <c r="H21" i="4"/>
  <c r="H19" i="10556" s="1"/>
  <c r="H20" i="10556" s="1"/>
  <c r="L26" i="4"/>
  <c r="L40" i="4" s="1"/>
  <c r="L21" i="4"/>
  <c r="L19" i="10556" s="1"/>
  <c r="L20" i="10556" s="1"/>
  <c r="M29" i="4"/>
  <c r="M26" i="10556" s="1"/>
  <c r="Q55" i="4"/>
  <c r="Q64" i="4"/>
  <c r="Q65" i="4" s="1"/>
  <c r="C27" i="4"/>
  <c r="T22" i="4"/>
  <c r="L36" i="4"/>
  <c r="L33" i="10556" s="1"/>
  <c r="E25" i="4"/>
  <c r="E22" i="10556" s="1"/>
  <c r="E36" i="10556" s="1"/>
  <c r="M78" i="4"/>
  <c r="J26" i="4"/>
  <c r="J86" i="4" s="1"/>
  <c r="E28" i="4"/>
  <c r="P54" i="4"/>
  <c r="N57" i="4"/>
  <c r="N58" i="4" s="1"/>
  <c r="J57" i="4"/>
  <c r="J58" i="4" s="1"/>
  <c r="T80" i="4"/>
  <c r="V80" i="4"/>
  <c r="S57" i="4"/>
  <c r="S58" i="4" s="1"/>
  <c r="M57" i="4"/>
  <c r="M58" i="4" s="1"/>
  <c r="I57" i="4"/>
  <c r="I58" i="4" s="1"/>
  <c r="O51" i="10556"/>
  <c r="H3" i="10556"/>
  <c r="G3" i="10556"/>
  <c r="F71" i="10556"/>
  <c r="H86" i="10556"/>
  <c r="S20" i="10556"/>
  <c r="D20" i="10556"/>
  <c r="U52" i="10556"/>
  <c r="V20" i="10556"/>
  <c r="U20" i="10556"/>
  <c r="M20" i="10556"/>
  <c r="E20" i="10556"/>
  <c r="G61" i="10556"/>
  <c r="I52" i="10556"/>
  <c r="T51" i="10556"/>
  <c r="V50" i="10556"/>
  <c r="F50" i="10556"/>
  <c r="R53" i="10556"/>
  <c r="N53" i="10556"/>
  <c r="V51" i="10556"/>
  <c r="Q52" i="10556"/>
  <c r="S51" i="10556"/>
  <c r="G52" i="10556"/>
  <c r="S52" i="10556"/>
  <c r="U51" i="10556"/>
  <c r="I51" i="10556"/>
  <c r="E51" i="10556"/>
  <c r="M39" i="10556"/>
  <c r="V53" i="10556"/>
  <c r="S50" i="10556"/>
  <c r="S102" i="10556" s="1"/>
  <c r="L61" i="10556"/>
  <c r="Q53" i="10556"/>
  <c r="F53" i="10556"/>
  <c r="V52" i="10556"/>
  <c r="F52" i="10556"/>
  <c r="S53" i="10556"/>
  <c r="G53" i="10556"/>
  <c r="O53" i="10556"/>
  <c r="K52" i="10556"/>
  <c r="L50" i="10556"/>
  <c r="M61" i="10556"/>
  <c r="J51" i="10556"/>
  <c r="J53" i="10556"/>
  <c r="N52" i="10556"/>
  <c r="L51" i="10556"/>
  <c r="H51" i="10556"/>
  <c r="O50" i="10556"/>
  <c r="K50" i="10556"/>
  <c r="G50" i="10556"/>
  <c r="H53" i="10556"/>
  <c r="U53" i="10556"/>
  <c r="Q51" i="10556"/>
  <c r="Q61" i="10556"/>
  <c r="S61" i="10556"/>
  <c r="P51" i="10556"/>
  <c r="U61" i="10556"/>
  <c r="V61" i="10556"/>
  <c r="V106" i="10556" s="1"/>
  <c r="D38" i="10556"/>
  <c r="M53" i="10556"/>
  <c r="I53" i="10556"/>
  <c r="M52" i="10556"/>
  <c r="K61" i="10556"/>
  <c r="T53" i="10556"/>
  <c r="L53" i="10556"/>
  <c r="P52" i="10556"/>
  <c r="L52" i="10556"/>
  <c r="H52" i="10556"/>
  <c r="F51" i="10556"/>
  <c r="Q50" i="10556"/>
  <c r="M50" i="10556"/>
  <c r="I50" i="10556"/>
  <c r="E50" i="10556"/>
  <c r="R61" i="10556"/>
  <c r="N61" i="10556"/>
  <c r="N51" i="10556"/>
  <c r="U50" i="10556"/>
  <c r="M51" i="10556"/>
  <c r="K53" i="10556"/>
  <c r="O52" i="10556"/>
  <c r="R51" i="10556"/>
  <c r="R52" i="10556"/>
  <c r="H61" i="10556"/>
  <c r="J52" i="10556"/>
  <c r="H50" i="10556"/>
  <c r="K51" i="10556"/>
  <c r="G51" i="10556"/>
  <c r="R50" i="10556"/>
  <c r="N50" i="10556"/>
  <c r="B40" i="4"/>
  <c r="C25" i="10556"/>
  <c r="C39" i="10556" s="1"/>
  <c r="C42" i="4"/>
  <c r="I78" i="4"/>
  <c r="G80" i="4"/>
  <c r="H78" i="4"/>
  <c r="Q78" i="4"/>
  <c r="O80" i="4"/>
  <c r="P32" i="10556"/>
  <c r="P53" i="10556" s="1"/>
  <c r="P56" i="4"/>
  <c r="R15" i="10556"/>
  <c r="R26" i="4"/>
  <c r="R22" i="4"/>
  <c r="R28" i="4"/>
  <c r="R36" i="4"/>
  <c r="R33" i="10556" s="1"/>
  <c r="R25" i="4"/>
  <c r="R21" i="4"/>
  <c r="R19" i="10556" s="1"/>
  <c r="R20" i="10556" s="1"/>
  <c r="R27" i="4"/>
  <c r="P36" i="4"/>
  <c r="P33" i="10556" s="1"/>
  <c r="G83" i="4"/>
  <c r="G39" i="4"/>
  <c r="G22" i="10556"/>
  <c r="G36" i="10556" s="1"/>
  <c r="D50" i="4"/>
  <c r="D90" i="4" s="1"/>
  <c r="D100" i="4" s="1"/>
  <c r="U25" i="10556"/>
  <c r="U90" i="4"/>
  <c r="U100" i="4" s="1"/>
  <c r="U42" i="4"/>
  <c r="U39" i="10556" s="1"/>
  <c r="G24" i="10556"/>
  <c r="G38" i="10556" s="1"/>
  <c r="G87" i="4"/>
  <c r="G41" i="4"/>
  <c r="S24" i="10556"/>
  <c r="S87" i="4"/>
  <c r="S41" i="4"/>
  <c r="S38" i="10556" s="1"/>
  <c r="T29" i="10556"/>
  <c r="T64" i="4"/>
  <c r="T65" i="4" s="1"/>
  <c r="T36" i="4"/>
  <c r="T33" i="10556" s="1"/>
  <c r="T53" i="4"/>
  <c r="U15" i="10556"/>
  <c r="U27" i="4"/>
  <c r="U22" i="4"/>
  <c r="U26" i="4"/>
  <c r="U36" i="4"/>
  <c r="U33" i="10556" s="1"/>
  <c r="U25" i="4"/>
  <c r="H83" i="4"/>
  <c r="H39" i="4"/>
  <c r="I22" i="10556"/>
  <c r="I36" i="10556" s="1"/>
  <c r="K22" i="10556"/>
  <c r="K36" i="10556" s="1"/>
  <c r="I90" i="4"/>
  <c r="I100" i="4" s="1"/>
  <c r="Q41" i="4"/>
  <c r="P78" i="4"/>
  <c r="D22" i="10556"/>
  <c r="D36" i="10556" s="1"/>
  <c r="D39" i="4"/>
  <c r="B33" i="10556"/>
  <c r="F57" i="4"/>
  <c r="F58" i="4" s="1"/>
  <c r="G90" i="4"/>
  <c r="G100" i="4" s="1"/>
  <c r="K80" i="4"/>
  <c r="H80" i="4"/>
  <c r="P29" i="10556"/>
  <c r="P50" i="10556" s="1"/>
  <c r="P53" i="4"/>
  <c r="P64" i="4"/>
  <c r="P65" i="4" s="1"/>
  <c r="K57" i="4"/>
  <c r="K58" i="4" s="1"/>
  <c r="R57" i="4"/>
  <c r="R58" i="4" s="1"/>
  <c r="T31" i="10556"/>
  <c r="T52" i="10556" s="1"/>
  <c r="I39" i="4"/>
  <c r="K23" i="10556"/>
  <c r="K37" i="10556" s="1"/>
  <c r="K40" i="4"/>
  <c r="I86" i="4"/>
  <c r="O78" i="4"/>
  <c r="S25" i="10556"/>
  <c r="S42" i="4"/>
  <c r="S39" i="10556" s="1"/>
  <c r="H87" i="4"/>
  <c r="H24" i="10556"/>
  <c r="H38" i="10556" s="1"/>
  <c r="H41" i="4"/>
  <c r="Q56" i="4"/>
  <c r="Q36" i="4"/>
  <c r="Q33" i="10556" s="1"/>
  <c r="S15" i="10556"/>
  <c r="S36" i="4"/>
  <c r="S33" i="10556" s="1"/>
  <c r="S22" i="4"/>
  <c r="S25" i="4"/>
  <c r="S26" i="4"/>
  <c r="N22" i="10556"/>
  <c r="N36" i="10556" s="1"/>
  <c r="N39" i="4"/>
  <c r="L25" i="10556"/>
  <c r="L39" i="10556" s="1"/>
  <c r="L42" i="4"/>
  <c r="E50" i="4"/>
  <c r="C22" i="10556"/>
  <c r="C36" i="10556" s="1"/>
  <c r="C83" i="4"/>
  <c r="D83" i="4"/>
  <c r="E86" i="4"/>
  <c r="F58" i="10556"/>
  <c r="F61" i="10556" s="1"/>
  <c r="F64" i="4"/>
  <c r="F65" i="4" s="1"/>
  <c r="I61" i="10556"/>
  <c r="J87" i="4"/>
  <c r="U64" i="4"/>
  <c r="U65" i="4" s="1"/>
  <c r="T90" i="4"/>
  <c r="T100" i="4" s="1"/>
  <c r="O90" i="4"/>
  <c r="O100" i="4" s="1"/>
  <c r="J90" i="4"/>
  <c r="J100" i="4" s="1"/>
  <c r="O83" i="4"/>
  <c r="M86" i="4"/>
  <c r="M24" i="10556"/>
  <c r="M38" i="10556" s="1"/>
  <c r="O61" i="10556"/>
  <c r="J50" i="10556"/>
  <c r="J61" i="10556"/>
  <c r="I25" i="10556" l="1"/>
  <c r="I39" i="10556" s="1"/>
  <c r="P39" i="4"/>
  <c r="C29" i="4"/>
  <c r="C26" i="10556" s="1"/>
  <c r="C40" i="10556" s="1"/>
  <c r="J22" i="10556"/>
  <c r="J36" i="10556" s="1"/>
  <c r="E83" i="4"/>
  <c r="G23" i="10556"/>
  <c r="G37" i="10556" s="1"/>
  <c r="K83" i="4"/>
  <c r="P83" i="4"/>
  <c r="P85" i="4" s="1"/>
  <c r="P84" i="4" s="1"/>
  <c r="C86" i="4"/>
  <c r="J83" i="4"/>
  <c r="C40" i="4"/>
  <c r="I87" i="4"/>
  <c r="I88" i="4" s="1"/>
  <c r="V25" i="10556"/>
  <c r="V42" i="4"/>
  <c r="V39" i="10556" s="1"/>
  <c r="V90" i="4"/>
  <c r="V100" i="4" s="1"/>
  <c r="V109" i="4" s="1"/>
  <c r="V116" i="4" s="1"/>
  <c r="J24" i="10556"/>
  <c r="J38" i="10556" s="1"/>
  <c r="N40" i="4"/>
  <c r="G25" i="10556"/>
  <c r="G39" i="10556" s="1"/>
  <c r="L87" i="4"/>
  <c r="G29" i="4"/>
  <c r="G26" i="10556" s="1"/>
  <c r="G40" i="10556" s="1"/>
  <c r="G84" i="10556" s="1"/>
  <c r="G87" i="10556" s="1"/>
  <c r="G88" i="10556" s="1"/>
  <c r="M40" i="10556"/>
  <c r="M84" i="10556" s="1"/>
  <c r="V29" i="4"/>
  <c r="V26" i="10556" s="1"/>
  <c r="V83" i="4"/>
  <c r="V22" i="10556"/>
  <c r="V39" i="4"/>
  <c r="N23" i="10556"/>
  <c r="N37" i="10556" s="1"/>
  <c r="L24" i="10556"/>
  <c r="L38" i="10556" s="1"/>
  <c r="O86" i="4"/>
  <c r="O98" i="4" s="1"/>
  <c r="O107" i="4" s="1"/>
  <c r="O114" i="4" s="1"/>
  <c r="H112" i="4"/>
  <c r="H95" i="4"/>
  <c r="H105" i="4"/>
  <c r="V87" i="4"/>
  <c r="V41" i="4"/>
  <c r="V38" i="10556" s="1"/>
  <c r="V24" i="10556"/>
  <c r="Q83" i="4"/>
  <c r="O87" i="4"/>
  <c r="O88" i="4" s="1"/>
  <c r="O24" i="10556"/>
  <c r="O38" i="10556" s="1"/>
  <c r="I3" i="10556"/>
  <c r="I105" i="4"/>
  <c r="I112" i="4"/>
  <c r="I95" i="4"/>
  <c r="V86" i="4"/>
  <c r="V98" i="4" s="1"/>
  <c r="V107" i="4" s="1"/>
  <c r="V114" i="4" s="1"/>
  <c r="V40" i="4"/>
  <c r="V37" i="10556" s="1"/>
  <c r="V23" i="10556"/>
  <c r="T86" i="4"/>
  <c r="Q23" i="10556"/>
  <c r="Q37" i="10556" s="1"/>
  <c r="P99" i="4"/>
  <c r="F42" i="4"/>
  <c r="J23" i="10556"/>
  <c r="J37" i="10556" s="1"/>
  <c r="F25" i="10556"/>
  <c r="F39" i="10556" s="1"/>
  <c r="P79" i="4"/>
  <c r="P41" i="4"/>
  <c r="M43" i="4"/>
  <c r="M67" i="4" s="1"/>
  <c r="D40" i="4"/>
  <c r="Q86" i="4"/>
  <c r="B24" i="10556"/>
  <c r="B38" i="10556" s="1"/>
  <c r="P24" i="10556"/>
  <c r="P38" i="10556" s="1"/>
  <c r="P29" i="4"/>
  <c r="P26" i="10556" s="1"/>
  <c r="T23" i="10556"/>
  <c r="D86" i="4"/>
  <c r="E39" i="4"/>
  <c r="N41" i="4"/>
  <c r="T83" i="4"/>
  <c r="T85" i="4" s="1"/>
  <c r="T84" i="4" s="1"/>
  <c r="J40" i="4"/>
  <c r="J43" i="4" s="1"/>
  <c r="B41" i="4"/>
  <c r="T39" i="4"/>
  <c r="N87" i="4"/>
  <c r="N79" i="4" s="1"/>
  <c r="E23" i="10556"/>
  <c r="E37" i="10556" s="1"/>
  <c r="J29" i="4"/>
  <c r="J26" i="10556" s="1"/>
  <c r="J40" i="10556" s="1"/>
  <c r="J84" i="10556" s="1"/>
  <c r="J87" i="10556" s="1"/>
  <c r="J88" i="10556" s="1"/>
  <c r="L83" i="4"/>
  <c r="L85" i="4" s="1"/>
  <c r="L84" i="4" s="1"/>
  <c r="P42" i="4"/>
  <c r="E29" i="4"/>
  <c r="E26" i="10556" s="1"/>
  <c r="E40" i="10556" s="1"/>
  <c r="E84" i="10556" s="1"/>
  <c r="F41" i="4"/>
  <c r="F40" i="4"/>
  <c r="O40" i="4"/>
  <c r="I29" i="4"/>
  <c r="I26" i="10556" s="1"/>
  <c r="I40" i="10556" s="1"/>
  <c r="I84" i="10556" s="1"/>
  <c r="I87" i="10556" s="1"/>
  <c r="I88" i="10556" s="1"/>
  <c r="E42" i="4"/>
  <c r="N29" i="4"/>
  <c r="N26" i="10556" s="1"/>
  <c r="N40" i="10556" s="1"/>
  <c r="N84" i="10556" s="1"/>
  <c r="N87" i="10556" s="1"/>
  <c r="E24" i="10556"/>
  <c r="E38" i="10556" s="1"/>
  <c r="R104" i="10556"/>
  <c r="K24" i="10556"/>
  <c r="K38" i="10556" s="1"/>
  <c r="K41" i="4"/>
  <c r="L23" i="10556"/>
  <c r="L37" i="10556" s="1"/>
  <c r="F96" i="4"/>
  <c r="H29" i="4"/>
  <c r="H26" i="10556" s="1"/>
  <c r="H40" i="10556" s="1"/>
  <c r="H84" i="10556" s="1"/>
  <c r="H87" i="10556" s="1"/>
  <c r="H88" i="10556" s="1"/>
  <c r="B39" i="4"/>
  <c r="Q29" i="4"/>
  <c r="Q26" i="10556" s="1"/>
  <c r="Q40" i="10556" s="1"/>
  <c r="Q84" i="10556" s="1"/>
  <c r="Q87" i="4"/>
  <c r="Q79" i="4" s="1"/>
  <c r="D42" i="4"/>
  <c r="P25" i="10556"/>
  <c r="P39" i="10556" s="1"/>
  <c r="L86" i="4"/>
  <c r="L98" i="4" s="1"/>
  <c r="H23" i="10556"/>
  <c r="H37" i="10556" s="1"/>
  <c r="L43" i="4"/>
  <c r="L67" i="4" s="1"/>
  <c r="I40" i="4"/>
  <c r="L29" i="4"/>
  <c r="L26" i="10556" s="1"/>
  <c r="L40" i="10556" s="1"/>
  <c r="L84" i="10556" s="1"/>
  <c r="L87" i="10556" s="1"/>
  <c r="L88" i="10556" s="1"/>
  <c r="P57" i="4"/>
  <c r="P58" i="4" s="1"/>
  <c r="D29" i="4"/>
  <c r="D26" i="10556" s="1"/>
  <c r="D40" i="10556" s="1"/>
  <c r="G40" i="4"/>
  <c r="G43" i="4" s="1"/>
  <c r="G67" i="4" s="1"/>
  <c r="O104" i="10556"/>
  <c r="O102" i="10556"/>
  <c r="F87" i="4"/>
  <c r="O42" i="4"/>
  <c r="H86" i="4"/>
  <c r="H98" i="4" s="1"/>
  <c r="Q57" i="4"/>
  <c r="Q58" i="4" s="1"/>
  <c r="L22" i="10556"/>
  <c r="L36" i="10556" s="1"/>
  <c r="P102" i="10556"/>
  <c r="O29" i="4"/>
  <c r="O26" i="10556" s="1"/>
  <c r="O40" i="10556" s="1"/>
  <c r="O84" i="10556" s="1"/>
  <c r="O87" i="10556" s="1"/>
  <c r="F29" i="4"/>
  <c r="F26" i="10556" s="1"/>
  <c r="F40" i="10556" s="1"/>
  <c r="F84" i="10556" s="1"/>
  <c r="I24" i="10556"/>
  <c r="I38" i="10556" s="1"/>
  <c r="B29" i="4"/>
  <c r="B26" i="10556" s="1"/>
  <c r="B40" i="10556" s="1"/>
  <c r="K87" i="4"/>
  <c r="B42" i="4"/>
  <c r="Q25" i="10556"/>
  <c r="Q39" i="10556" s="1"/>
  <c r="Q42" i="4"/>
  <c r="K25" i="10556"/>
  <c r="K39" i="10556" s="1"/>
  <c r="K42" i="4"/>
  <c r="E25" i="10556"/>
  <c r="E39" i="10556" s="1"/>
  <c r="K90" i="4"/>
  <c r="K100" i="4" s="1"/>
  <c r="O22" i="10556"/>
  <c r="O36" i="10556" s="1"/>
  <c r="O39" i="4"/>
  <c r="J67" i="4"/>
  <c r="J69" i="4" s="1"/>
  <c r="J64" i="10556" s="1"/>
  <c r="Q43" i="4"/>
  <c r="T57" i="4"/>
  <c r="T58" i="4" s="1"/>
  <c r="H102" i="10556"/>
  <c r="I102" i="10556"/>
  <c r="K29" i="4"/>
  <c r="K26" i="10556" s="1"/>
  <c r="K40" i="10556" s="1"/>
  <c r="K84" i="10556" s="1"/>
  <c r="K87" i="10556" s="1"/>
  <c r="F86" i="4"/>
  <c r="F98" i="4" s="1"/>
  <c r="O109" i="4"/>
  <c r="O116" i="4" s="1"/>
  <c r="U109" i="4"/>
  <c r="U116" i="4" s="1"/>
  <c r="M85" i="4"/>
  <c r="M84" i="4" s="1"/>
  <c r="M96" i="4"/>
  <c r="T24" i="10556"/>
  <c r="T41" i="4"/>
  <c r="T38" i="10556" s="1"/>
  <c r="N25" i="10556"/>
  <c r="N39" i="10556" s="1"/>
  <c r="N90" i="4"/>
  <c r="N100" i="4" s="1"/>
  <c r="N42" i="4"/>
  <c r="T109" i="4"/>
  <c r="T116" i="4" s="1"/>
  <c r="I109" i="4"/>
  <c r="I116" i="4" s="1"/>
  <c r="M109" i="4"/>
  <c r="M116" i="4" s="1"/>
  <c r="Q109" i="4"/>
  <c r="Q116" i="4" s="1"/>
  <c r="S109" i="4"/>
  <c r="S116" i="4" s="1"/>
  <c r="G109" i="4"/>
  <c r="G116" i="4" s="1"/>
  <c r="P109" i="4"/>
  <c r="P116" i="4" s="1"/>
  <c r="U57" i="4"/>
  <c r="U58" i="4" s="1"/>
  <c r="J109" i="4"/>
  <c r="J116" i="4" s="1"/>
  <c r="L109" i="4"/>
  <c r="L116" i="4" s="1"/>
  <c r="C87" i="4"/>
  <c r="C41" i="4"/>
  <c r="C43" i="4" s="1"/>
  <c r="C24" i="10556"/>
  <c r="C38" i="10556" s="1"/>
  <c r="P86" i="4"/>
  <c r="P98" i="4" s="1"/>
  <c r="P40" i="4"/>
  <c r="P23" i="10556"/>
  <c r="P37" i="10556" s="1"/>
  <c r="M92" i="4"/>
  <c r="M99" i="4"/>
  <c r="T25" i="10556"/>
  <c r="T42" i="4"/>
  <c r="T39" i="10556" s="1"/>
  <c r="T29" i="4"/>
  <c r="T26" i="10556" s="1"/>
  <c r="H90" i="4"/>
  <c r="H100" i="4" s="1"/>
  <c r="H42" i="4"/>
  <c r="H43" i="4" s="1"/>
  <c r="H67" i="4" s="1"/>
  <c r="J7" i="4"/>
  <c r="Q102" i="10556"/>
  <c r="M104" i="10556"/>
  <c r="F104" i="10556"/>
  <c r="J102" i="10556"/>
  <c r="N104" i="10556"/>
  <c r="L102" i="10556"/>
  <c r="P104" i="10556"/>
  <c r="K104" i="10556"/>
  <c r="N102" i="10556"/>
  <c r="G104" i="10556"/>
  <c r="J62" i="10556"/>
  <c r="J106" i="10556"/>
  <c r="O62" i="10556"/>
  <c r="O106" i="10556"/>
  <c r="I62" i="10556"/>
  <c r="I106" i="10556"/>
  <c r="N62" i="10556"/>
  <c r="N106" i="10556"/>
  <c r="M102" i="10556"/>
  <c r="L104" i="10556"/>
  <c r="K62" i="10556"/>
  <c r="K106" i="10556"/>
  <c r="K102" i="10556"/>
  <c r="Q104" i="10556"/>
  <c r="F102" i="10556"/>
  <c r="I104" i="10556"/>
  <c r="R62" i="10556"/>
  <c r="R106" i="10556"/>
  <c r="Q62" i="10556"/>
  <c r="Q106" i="10556"/>
  <c r="G62" i="10556"/>
  <c r="G106" i="10556"/>
  <c r="L62" i="10556"/>
  <c r="L106" i="10556"/>
  <c r="F62" i="10556"/>
  <c r="F106" i="10556"/>
  <c r="R102" i="10556"/>
  <c r="J104" i="10556"/>
  <c r="H62" i="10556"/>
  <c r="H106" i="10556"/>
  <c r="H104" i="10556"/>
  <c r="G102" i="10556"/>
  <c r="M62" i="10556"/>
  <c r="M106" i="10556"/>
  <c r="F86" i="10556"/>
  <c r="E71" i="10556"/>
  <c r="E86" i="10556" s="1"/>
  <c r="M87" i="10556"/>
  <c r="M88" i="10556" s="1"/>
  <c r="V102" i="10556"/>
  <c r="U104" i="10556"/>
  <c r="S104" i="10556"/>
  <c r="V55" i="10556"/>
  <c r="V54" i="10556" s="1"/>
  <c r="U102" i="10556"/>
  <c r="F55" i="10556"/>
  <c r="F54" i="10556" s="1"/>
  <c r="I55" i="10556"/>
  <c r="I54" i="10556" s="1"/>
  <c r="V104" i="10556"/>
  <c r="L55" i="10556"/>
  <c r="L54" i="10556" s="1"/>
  <c r="S55" i="10556"/>
  <c r="S54" i="10556" s="1"/>
  <c r="U55" i="10556"/>
  <c r="U54" i="10556" s="1"/>
  <c r="N55" i="10556"/>
  <c r="N54" i="10556" s="1"/>
  <c r="H55" i="10556"/>
  <c r="H54" i="10556" s="1"/>
  <c r="O55" i="10556"/>
  <c r="O54" i="10556" s="1"/>
  <c r="T104" i="10556"/>
  <c r="K55" i="10556"/>
  <c r="K54" i="10556" s="1"/>
  <c r="G55" i="10556"/>
  <c r="G54" i="10556" s="1"/>
  <c r="Q55" i="10556"/>
  <c r="Q54" i="10556" s="1"/>
  <c r="S106" i="10556"/>
  <c r="S62" i="10556"/>
  <c r="V62" i="10556"/>
  <c r="W65" i="10556" s="1"/>
  <c r="U106" i="10556"/>
  <c r="J55" i="10556"/>
  <c r="J54" i="10556" s="1"/>
  <c r="P55" i="10556"/>
  <c r="P54" i="10556" s="1"/>
  <c r="M55" i="10556"/>
  <c r="M54" i="10556" s="1"/>
  <c r="U62" i="10556"/>
  <c r="R55" i="10556"/>
  <c r="R54" i="10556" s="1"/>
  <c r="P61" i="10556"/>
  <c r="F97" i="4"/>
  <c r="O85" i="4"/>
  <c r="O84" i="4" s="1"/>
  <c r="O96" i="4"/>
  <c r="D96" i="4"/>
  <c r="D85" i="4"/>
  <c r="D84" i="4" s="1"/>
  <c r="N96" i="4"/>
  <c r="N85" i="4"/>
  <c r="N84" i="4" s="1"/>
  <c r="D98" i="4"/>
  <c r="H79" i="4"/>
  <c r="H88" i="4"/>
  <c r="I98" i="4"/>
  <c r="L68" i="4"/>
  <c r="L69" i="4"/>
  <c r="L64" i="10556" s="1"/>
  <c r="E85" i="4"/>
  <c r="E84" i="4" s="1"/>
  <c r="E96" i="4"/>
  <c r="Q85" i="4"/>
  <c r="Q84" i="4" s="1"/>
  <c r="Q96" i="4"/>
  <c r="S79" i="4"/>
  <c r="S88" i="4"/>
  <c r="G79" i="4"/>
  <c r="G88" i="4"/>
  <c r="T79" i="4"/>
  <c r="T88" i="4"/>
  <c r="E98" i="4"/>
  <c r="E47" i="10556"/>
  <c r="E53" i="10556" s="1"/>
  <c r="E49" i="4"/>
  <c r="E56" i="4"/>
  <c r="E90" i="4"/>
  <c r="E100" i="4" s="1"/>
  <c r="Q98" i="4"/>
  <c r="I43" i="4"/>
  <c r="I67" i="4" s="1"/>
  <c r="D43" i="4"/>
  <c r="G98" i="4"/>
  <c r="L88" i="4"/>
  <c r="L79" i="4"/>
  <c r="K85" i="4"/>
  <c r="K84" i="4" s="1"/>
  <c r="K96" i="4"/>
  <c r="I85" i="4"/>
  <c r="I84" i="4" s="1"/>
  <c r="I96" i="4"/>
  <c r="H85" i="4"/>
  <c r="H84" i="4" s="1"/>
  <c r="H96" i="4"/>
  <c r="U23" i="10556"/>
  <c r="U86" i="4"/>
  <c r="U40" i="4"/>
  <c r="U37" i="10556" s="1"/>
  <c r="T36" i="10556"/>
  <c r="T61" i="10556"/>
  <c r="T50" i="10556"/>
  <c r="P40" i="10556"/>
  <c r="P84" i="10556" s="1"/>
  <c r="D47" i="10556"/>
  <c r="D56" i="4"/>
  <c r="D53" i="10556" s="1"/>
  <c r="D49" i="4"/>
  <c r="R87" i="4"/>
  <c r="R24" i="10556"/>
  <c r="R41" i="4"/>
  <c r="R38" i="10556" s="1"/>
  <c r="R90" i="4"/>
  <c r="R100" i="4" s="1"/>
  <c r="R25" i="10556"/>
  <c r="R42" i="4"/>
  <c r="R39" i="10556" s="1"/>
  <c r="J85" i="4"/>
  <c r="J84" i="4" s="1"/>
  <c r="J96" i="4"/>
  <c r="S23" i="10556"/>
  <c r="S86" i="4"/>
  <c r="S40" i="4"/>
  <c r="S37" i="10556" s="1"/>
  <c r="P96" i="4"/>
  <c r="D109" i="4"/>
  <c r="M98" i="4"/>
  <c r="J79" i="4"/>
  <c r="J88" i="4"/>
  <c r="T98" i="4"/>
  <c r="C85" i="4"/>
  <c r="C84" i="4" s="1"/>
  <c r="S22" i="10556"/>
  <c r="S83" i="4"/>
  <c r="S29" i="4"/>
  <c r="S26" i="10556" s="1"/>
  <c r="S39" i="4"/>
  <c r="N98" i="4"/>
  <c r="M69" i="4"/>
  <c r="M64" i="10556" s="1"/>
  <c r="M68" i="4"/>
  <c r="J98" i="4"/>
  <c r="U22" i="10556"/>
  <c r="U83" i="4"/>
  <c r="U29" i="4"/>
  <c r="U26" i="10556" s="1"/>
  <c r="U39" i="4"/>
  <c r="U24" i="10556"/>
  <c r="U87" i="4"/>
  <c r="U41" i="4"/>
  <c r="U38" i="10556" s="1"/>
  <c r="F109" i="4"/>
  <c r="K107" i="4"/>
  <c r="K114" i="4" s="1"/>
  <c r="P36" i="10556"/>
  <c r="G85" i="4"/>
  <c r="G84" i="4" s="1"/>
  <c r="G103" i="4" s="1"/>
  <c r="G96" i="4"/>
  <c r="R83" i="4"/>
  <c r="R39" i="4"/>
  <c r="R22" i="10556"/>
  <c r="R29" i="4"/>
  <c r="R26" i="10556" s="1"/>
  <c r="R23" i="10556"/>
  <c r="R86" i="4"/>
  <c r="R40" i="4"/>
  <c r="R37" i="10556" s="1"/>
  <c r="I79" i="4" l="1"/>
  <c r="Q67" i="4"/>
  <c r="Q68" i="4" s="1"/>
  <c r="P43" i="4"/>
  <c r="N88" i="4"/>
  <c r="N92" i="4" s="1"/>
  <c r="V88" i="4"/>
  <c r="V79" i="4"/>
  <c r="O79" i="4"/>
  <c r="E43" i="4"/>
  <c r="F43" i="4"/>
  <c r="F67" i="4" s="1"/>
  <c r="N43" i="4"/>
  <c r="N67" i="4" s="1"/>
  <c r="V96" i="4"/>
  <c r="V85" i="4"/>
  <c r="V84" i="4" s="1"/>
  <c r="J95" i="4"/>
  <c r="J105" i="4"/>
  <c r="J112" i="4"/>
  <c r="T96" i="4"/>
  <c r="V36" i="10556"/>
  <c r="V43" i="4"/>
  <c r="P108" i="4"/>
  <c r="P111" i="4" s="1"/>
  <c r="B43" i="4"/>
  <c r="K109" i="4"/>
  <c r="K116" i="4" s="1"/>
  <c r="E87" i="10556"/>
  <c r="E93" i="10556" s="1"/>
  <c r="E94" i="10556" s="1"/>
  <c r="E95" i="10556" s="1"/>
  <c r="F69" i="4"/>
  <c r="F64" i="10556" s="1"/>
  <c r="F101" i="10556" s="1"/>
  <c r="F109" i="10556" s="1"/>
  <c r="F68" i="4"/>
  <c r="L96" i="4"/>
  <c r="J68" i="4"/>
  <c r="AB100" i="4"/>
  <c r="K88" i="4"/>
  <c r="K79" i="4"/>
  <c r="Q88" i="4"/>
  <c r="Q92" i="4" s="1"/>
  <c r="F91" i="4"/>
  <c r="Q69" i="4"/>
  <c r="Q64" i="10556" s="1"/>
  <c r="Q101" i="10556" s="1"/>
  <c r="P67" i="4"/>
  <c r="P69" i="4" s="1"/>
  <c r="P64" i="10556" s="1"/>
  <c r="F87" i="10556"/>
  <c r="F93" i="10556" s="1"/>
  <c r="F94" i="10556" s="1"/>
  <c r="F99" i="10556" s="1"/>
  <c r="O43" i="4"/>
  <c r="O67" i="4" s="1"/>
  <c r="K43" i="4"/>
  <c r="K67" i="4" s="1"/>
  <c r="F88" i="4"/>
  <c r="F79" i="4"/>
  <c r="M97" i="4"/>
  <c r="M106" i="4" s="1"/>
  <c r="M113" i="4" s="1"/>
  <c r="M103" i="4"/>
  <c r="M91" i="4"/>
  <c r="Z100" i="4"/>
  <c r="F107" i="4"/>
  <c r="F114" i="4" s="1"/>
  <c r="J103" i="4"/>
  <c r="P115" i="4"/>
  <c r="T43" i="4"/>
  <c r="J3" i="10556"/>
  <c r="R109" i="4"/>
  <c r="R116" i="4" s="1"/>
  <c r="M108" i="4"/>
  <c r="P107" i="4"/>
  <c r="P114" i="4" s="1"/>
  <c r="N109" i="4"/>
  <c r="N116" i="4" s="1"/>
  <c r="AC100" i="4"/>
  <c r="AA100" i="4"/>
  <c r="E109" i="4"/>
  <c r="E116" i="4" s="1"/>
  <c r="H109" i="4"/>
  <c r="H116" i="4" s="1"/>
  <c r="M65" i="10556"/>
  <c r="M101" i="10556"/>
  <c r="L65" i="10556"/>
  <c r="L101" i="10556"/>
  <c r="L105" i="10556" s="1"/>
  <c r="P62" i="10556"/>
  <c r="P106" i="10556"/>
  <c r="J65" i="10556"/>
  <c r="J101" i="10556"/>
  <c r="J105" i="10556" s="1"/>
  <c r="J93" i="10556"/>
  <c r="J94" i="10556" s="1"/>
  <c r="J99" i="10556" s="1"/>
  <c r="K93" i="10556"/>
  <c r="K94" i="10556" s="1"/>
  <c r="K99" i="10556" s="1"/>
  <c r="K88" i="10556"/>
  <c r="M93" i="10556"/>
  <c r="M94" i="10556" s="1"/>
  <c r="M99" i="10556" s="1"/>
  <c r="N93" i="10556"/>
  <c r="N94" i="10556" s="1"/>
  <c r="N99" i="10556" s="1"/>
  <c r="O93" i="10556"/>
  <c r="O94" i="10556" s="1"/>
  <c r="O99" i="10556" s="1"/>
  <c r="I93" i="10556"/>
  <c r="I94" i="10556" s="1"/>
  <c r="I99" i="10556" s="1"/>
  <c r="G93" i="10556"/>
  <c r="G94" i="10556" s="1"/>
  <c r="G99" i="10556" s="1"/>
  <c r="H93" i="10556"/>
  <c r="H94" i="10556" s="1"/>
  <c r="H99" i="10556" s="1"/>
  <c r="L93" i="10556"/>
  <c r="L94" i="10556" s="1"/>
  <c r="L99" i="10556" s="1"/>
  <c r="P87" i="10556"/>
  <c r="N88" i="10556"/>
  <c r="O88" i="10556"/>
  <c r="Q87" i="10556"/>
  <c r="Q88" i="10556" s="1"/>
  <c r="T91" i="4"/>
  <c r="T97" i="4"/>
  <c r="T103" i="4"/>
  <c r="L91" i="4"/>
  <c r="L97" i="4"/>
  <c r="L102" i="4" s="1"/>
  <c r="L103" i="4"/>
  <c r="N91" i="4"/>
  <c r="N97" i="4"/>
  <c r="N103" i="4"/>
  <c r="I97" i="4"/>
  <c r="I91" i="4"/>
  <c r="I103" i="4"/>
  <c r="H91" i="4"/>
  <c r="H97" i="4"/>
  <c r="H103" i="4"/>
  <c r="E97" i="4"/>
  <c r="R85" i="4"/>
  <c r="R84" i="4" s="1"/>
  <c r="R96" i="4"/>
  <c r="F116" i="4"/>
  <c r="P97" i="4"/>
  <c r="P103" i="4"/>
  <c r="P91" i="4"/>
  <c r="J91" i="4"/>
  <c r="J97" i="4"/>
  <c r="D87" i="4"/>
  <c r="D91" i="4" s="1"/>
  <c r="D46" i="10556"/>
  <c r="D55" i="4"/>
  <c r="T67" i="4"/>
  <c r="T40" i="10556"/>
  <c r="T84" i="10556" s="1"/>
  <c r="E107" i="4"/>
  <c r="E114" i="4" s="1"/>
  <c r="G99" i="4"/>
  <c r="G92" i="4"/>
  <c r="D107" i="4"/>
  <c r="U88" i="4"/>
  <c r="U79" i="4"/>
  <c r="U85" i="4"/>
  <c r="U84" i="4" s="1"/>
  <c r="U96" i="4"/>
  <c r="S36" i="10556"/>
  <c r="S43" i="4"/>
  <c r="N68" i="4"/>
  <c r="N69" i="4"/>
  <c r="N64" i="10556" s="1"/>
  <c r="T107" i="4"/>
  <c r="T114" i="4" s="1"/>
  <c r="I99" i="4"/>
  <c r="I92" i="4"/>
  <c r="O92" i="4"/>
  <c r="O103" i="4"/>
  <c r="O99" i="4"/>
  <c r="S98" i="4"/>
  <c r="G107" i="4"/>
  <c r="I69" i="4"/>
  <c r="I64" i="10556" s="1"/>
  <c r="I68" i="4"/>
  <c r="T92" i="4"/>
  <c r="T99" i="4"/>
  <c r="Q97" i="4"/>
  <c r="Q91" i="4"/>
  <c r="H92" i="4"/>
  <c r="H99" i="4"/>
  <c r="H107" i="4"/>
  <c r="H114" i="4" s="1"/>
  <c r="O97" i="4"/>
  <c r="O91" i="4"/>
  <c r="G97" i="4"/>
  <c r="G91" i="4"/>
  <c r="J92" i="4"/>
  <c r="J99" i="4"/>
  <c r="M107" i="4"/>
  <c r="L107" i="4"/>
  <c r="L114" i="4" s="1"/>
  <c r="R88" i="4"/>
  <c r="R79" i="4"/>
  <c r="T102" i="10556"/>
  <c r="T55" i="10556"/>
  <c r="T54" i="10556" s="1"/>
  <c r="Q103" i="4"/>
  <c r="E46" i="10556"/>
  <c r="E52" i="10556" s="1"/>
  <c r="E55" i="10556" s="1"/>
  <c r="E54" i="10556" s="1"/>
  <c r="E87" i="4"/>
  <c r="E91" i="4" s="1"/>
  <c r="E55" i="4"/>
  <c r="E57" i="4" s="1"/>
  <c r="E58" i="4" s="1"/>
  <c r="P68" i="4"/>
  <c r="D97" i="4"/>
  <c r="R98" i="4"/>
  <c r="R36" i="10556"/>
  <c r="R43" i="4"/>
  <c r="U36" i="10556"/>
  <c r="U43" i="4"/>
  <c r="H68" i="4"/>
  <c r="H69" i="4"/>
  <c r="H64" i="10556" s="1"/>
  <c r="J107" i="4"/>
  <c r="J114" i="4" s="1"/>
  <c r="N107" i="4"/>
  <c r="N114" i="4" s="1"/>
  <c r="S96" i="4"/>
  <c r="S85" i="4"/>
  <c r="S84" i="4" s="1"/>
  <c r="D116" i="4"/>
  <c r="K69" i="4"/>
  <c r="K64" i="10556" s="1"/>
  <c r="K68" i="4"/>
  <c r="N99" i="4"/>
  <c r="G68" i="4"/>
  <c r="G69" i="4"/>
  <c r="G64" i="10556" s="1"/>
  <c r="T106" i="10556"/>
  <c r="T62" i="10556"/>
  <c r="U98" i="4"/>
  <c r="K97" i="4"/>
  <c r="K91" i="4"/>
  <c r="K103" i="4"/>
  <c r="L99" i="4"/>
  <c r="L92" i="4"/>
  <c r="Q107" i="4"/>
  <c r="Q114" i="4" s="1"/>
  <c r="S99" i="4"/>
  <c r="S92" i="4"/>
  <c r="I107" i="4"/>
  <c r="I114" i="4" s="1"/>
  <c r="F106" i="4"/>
  <c r="F102" i="4"/>
  <c r="E67" i="4" l="1"/>
  <c r="M101" i="4"/>
  <c r="V97" i="4"/>
  <c r="V91" i="4"/>
  <c r="V40" i="10556"/>
  <c r="V84" i="10556" s="1"/>
  <c r="V87" i="10556" s="1"/>
  <c r="V93" i="10556" s="1"/>
  <c r="V94" i="10556" s="1"/>
  <c r="V95" i="10556" s="1"/>
  <c r="V67" i="4"/>
  <c r="M102" i="4"/>
  <c r="V103" i="4"/>
  <c r="V92" i="4"/>
  <c r="V99" i="4"/>
  <c r="V108" i="4" s="1"/>
  <c r="V111" i="4" s="1"/>
  <c r="F65" i="10556"/>
  <c r="Q99" i="4"/>
  <c r="Q108" i="4" s="1"/>
  <c r="Q115" i="4" s="1"/>
  <c r="J109" i="10556"/>
  <c r="J111" i="10556"/>
  <c r="J128" i="10556" s="1"/>
  <c r="M111" i="10556"/>
  <c r="M128" i="10556" s="1"/>
  <c r="M109" i="10556"/>
  <c r="M127" i="10556" s="1"/>
  <c r="Q113" i="10556"/>
  <c r="Q129" i="10556" s="1"/>
  <c r="Q111" i="10556"/>
  <c r="Q128" i="10556" s="1"/>
  <c r="Q109" i="10556"/>
  <c r="Q127" i="10556" s="1"/>
  <c r="Q105" i="10556"/>
  <c r="Q125" i="10556" s="1"/>
  <c r="M107" i="10556"/>
  <c r="M126" i="10556" s="1"/>
  <c r="M105" i="10556"/>
  <c r="M125" i="10556" s="1"/>
  <c r="Q107" i="10556"/>
  <c r="Q126" i="10556" s="1"/>
  <c r="J107" i="10556"/>
  <c r="J126" i="10556" s="1"/>
  <c r="E99" i="10556"/>
  <c r="L109" i="10556"/>
  <c r="L127" i="10556" s="1"/>
  <c r="L111" i="10556"/>
  <c r="L128" i="10556" s="1"/>
  <c r="L107" i="10556"/>
  <c r="L126" i="10556" s="1"/>
  <c r="F105" i="10556"/>
  <c r="F125" i="10556" s="1"/>
  <c r="E88" i="10556"/>
  <c r="Q114" i="10556"/>
  <c r="Q65" i="10556"/>
  <c r="Q102" i="4"/>
  <c r="AA96" i="4"/>
  <c r="F99" i="4"/>
  <c r="F92" i="4"/>
  <c r="F103" i="4"/>
  <c r="N102" i="4"/>
  <c r="F95" i="10556"/>
  <c r="T102" i="4"/>
  <c r="F88" i="10556"/>
  <c r="O69" i="4"/>
  <c r="O64" i="10556" s="1"/>
  <c r="O68" i="4"/>
  <c r="K92" i="4"/>
  <c r="K99" i="4"/>
  <c r="E102" i="4"/>
  <c r="J108" i="4"/>
  <c r="J115" i="4" s="1"/>
  <c r="G108" i="4"/>
  <c r="G115" i="4" s="1"/>
  <c r="AC96" i="4"/>
  <c r="AA109" i="4"/>
  <c r="O108" i="4"/>
  <c r="O115" i="4" s="1"/>
  <c r="I108" i="4"/>
  <c r="I111" i="4" s="1"/>
  <c r="Z96" i="4"/>
  <c r="AC109" i="4"/>
  <c r="V115" i="4"/>
  <c r="M111" i="4"/>
  <c r="M115" i="4"/>
  <c r="Z109" i="4"/>
  <c r="N108" i="4"/>
  <c r="N111" i="4" s="1"/>
  <c r="S108" i="4"/>
  <c r="S115" i="4" s="1"/>
  <c r="L108" i="4"/>
  <c r="L115" i="4" s="1"/>
  <c r="Z98" i="4"/>
  <c r="H108" i="4"/>
  <c r="T108" i="4"/>
  <c r="T111" i="4" s="1"/>
  <c r="D102" i="4"/>
  <c r="AB109" i="4"/>
  <c r="L114" i="10556"/>
  <c r="L116" i="10556" s="1"/>
  <c r="L113" i="10556"/>
  <c r="L129" i="10556" s="1"/>
  <c r="F114" i="10556"/>
  <c r="F127" i="10556"/>
  <c r="F111" i="10556"/>
  <c r="F128" i="10556" s="1"/>
  <c r="F113" i="10556"/>
  <c r="F129" i="10556" s="1"/>
  <c r="N65" i="10556"/>
  <c r="N101" i="10556"/>
  <c r="F107" i="10556"/>
  <c r="F126" i="10556" s="1"/>
  <c r="K65" i="10556"/>
  <c r="K101" i="10556"/>
  <c r="P65" i="10556"/>
  <c r="P101" i="10556"/>
  <c r="J114" i="10556"/>
  <c r="J116" i="10556" s="1"/>
  <c r="J127" i="10556"/>
  <c r="J113" i="10556"/>
  <c r="J129" i="10556" s="1"/>
  <c r="M114" i="10556"/>
  <c r="M116" i="10556" s="1"/>
  <c r="M113" i="10556"/>
  <c r="M129" i="10556" s="1"/>
  <c r="J125" i="10556"/>
  <c r="G65" i="10556"/>
  <c r="G101" i="10556"/>
  <c r="H65" i="10556"/>
  <c r="H101" i="10556"/>
  <c r="I65" i="10556"/>
  <c r="I101" i="10556"/>
  <c r="L125" i="10556"/>
  <c r="J95" i="10556"/>
  <c r="K95" i="10556"/>
  <c r="M95" i="10556"/>
  <c r="N95" i="10556"/>
  <c r="O95" i="10556"/>
  <c r="P93" i="10556"/>
  <c r="P94" i="10556" s="1"/>
  <c r="P99" i="10556" s="1"/>
  <c r="Q93" i="10556"/>
  <c r="Q94" i="10556" s="1"/>
  <c r="Q99" i="10556" s="1"/>
  <c r="I95" i="10556"/>
  <c r="G95" i="10556"/>
  <c r="H95" i="10556"/>
  <c r="L95" i="10556"/>
  <c r="T87" i="10556"/>
  <c r="P88" i="10556"/>
  <c r="V88" i="10556"/>
  <c r="S91" i="4"/>
  <c r="S97" i="4"/>
  <c r="S103" i="4"/>
  <c r="E68" i="4"/>
  <c r="E69" i="4"/>
  <c r="E64" i="10556" s="1"/>
  <c r="E65" i="10556" s="1"/>
  <c r="U91" i="4"/>
  <c r="U97" i="4"/>
  <c r="U103" i="4"/>
  <c r="R97" i="4"/>
  <c r="R91" i="4"/>
  <c r="R103" i="4"/>
  <c r="O106" i="4"/>
  <c r="O102" i="4"/>
  <c r="O101" i="4"/>
  <c r="S67" i="4"/>
  <c r="S40" i="10556"/>
  <c r="S84" i="10556" s="1"/>
  <c r="H101" i="4"/>
  <c r="H106" i="4"/>
  <c r="AB116" i="4"/>
  <c r="Z116" i="4"/>
  <c r="AA116" i="4"/>
  <c r="AC116" i="4"/>
  <c r="U67" i="4"/>
  <c r="U40" i="10556"/>
  <c r="J101" i="4"/>
  <c r="J106" i="4"/>
  <c r="J102" i="4"/>
  <c r="R107" i="4"/>
  <c r="R114" i="4" s="1"/>
  <c r="R99" i="4"/>
  <c r="R92" i="4"/>
  <c r="AC98" i="4"/>
  <c r="M114" i="4"/>
  <c r="M110" i="4"/>
  <c r="G101" i="4"/>
  <c r="G106" i="4"/>
  <c r="Q106" i="4"/>
  <c r="S107" i="4"/>
  <c r="S114" i="4" s="1"/>
  <c r="U99" i="4"/>
  <c r="U92" i="4"/>
  <c r="AA98" i="4"/>
  <c r="AB96" i="4"/>
  <c r="L106" i="4"/>
  <c r="L101" i="4"/>
  <c r="G114" i="4"/>
  <c r="T68" i="4"/>
  <c r="T69" i="4"/>
  <c r="K106" i="4"/>
  <c r="K101" i="4"/>
  <c r="K102" i="4"/>
  <c r="H102" i="4"/>
  <c r="D52" i="10556"/>
  <c r="D55" i="10556" s="1"/>
  <c r="D54" i="10556" s="1"/>
  <c r="D57" i="4"/>
  <c r="P101" i="4"/>
  <c r="P106" i="4"/>
  <c r="P102" i="4"/>
  <c r="E106" i="4"/>
  <c r="I106" i="4"/>
  <c r="I101" i="4"/>
  <c r="T106" i="4"/>
  <c r="T101" i="4"/>
  <c r="F113" i="4"/>
  <c r="I102" i="4"/>
  <c r="U107" i="4"/>
  <c r="U114" i="4" s="1"/>
  <c r="R67" i="4"/>
  <c r="R40" i="10556"/>
  <c r="R84" i="10556" s="1"/>
  <c r="D106" i="4"/>
  <c r="E88" i="4"/>
  <c r="E79" i="4"/>
  <c r="AB98" i="4"/>
  <c r="H115" i="4"/>
  <c r="H111" i="4"/>
  <c r="G102" i="4"/>
  <c r="O111" i="4"/>
  <c r="D114" i="4"/>
  <c r="T64" i="10556"/>
  <c r="D79" i="4"/>
  <c r="D88" i="4"/>
  <c r="N101" i="4"/>
  <c r="N106" i="4"/>
  <c r="L111" i="4" l="1"/>
  <c r="Q101" i="4"/>
  <c r="V69" i="4"/>
  <c r="V64" i="10556" s="1"/>
  <c r="V68" i="4"/>
  <c r="G111" i="4"/>
  <c r="J111" i="4"/>
  <c r="S111" i="4"/>
  <c r="V106" i="4"/>
  <c r="V102" i="4"/>
  <c r="V101" i="4"/>
  <c r="I111" i="10556"/>
  <c r="I128" i="10556" s="1"/>
  <c r="I109" i="10556"/>
  <c r="I127" i="10556" s="1"/>
  <c r="I107" i="10556"/>
  <c r="I126" i="10556" s="1"/>
  <c r="I105" i="10556"/>
  <c r="I125" i="10556" s="1"/>
  <c r="G111" i="10556"/>
  <c r="G128" i="10556" s="1"/>
  <c r="G109" i="10556"/>
  <c r="G127" i="10556" s="1"/>
  <c r="G107" i="10556"/>
  <c r="G105" i="10556"/>
  <c r="G125" i="10556" s="1"/>
  <c r="P109" i="10556"/>
  <c r="P127" i="10556" s="1"/>
  <c r="P111" i="10556"/>
  <c r="P128" i="10556" s="1"/>
  <c r="P105" i="10556"/>
  <c r="P125" i="10556" s="1"/>
  <c r="H109" i="10556"/>
  <c r="H127" i="10556" s="1"/>
  <c r="H111" i="10556"/>
  <c r="H107" i="10556"/>
  <c r="H126" i="10556" s="1"/>
  <c r="H105" i="10556"/>
  <c r="N111" i="10556"/>
  <c r="N128" i="10556" s="1"/>
  <c r="N109" i="10556"/>
  <c r="N127" i="10556" s="1"/>
  <c r="N107" i="10556"/>
  <c r="N126" i="10556" s="1"/>
  <c r="N105" i="10556"/>
  <c r="N125" i="10556" s="1"/>
  <c r="P107" i="10556"/>
  <c r="P126" i="10556" s="1"/>
  <c r="K111" i="10556"/>
  <c r="K128" i="10556" s="1"/>
  <c r="K109" i="10556"/>
  <c r="K127" i="10556" s="1"/>
  <c r="K105" i="10556"/>
  <c r="K125" i="10556" s="1"/>
  <c r="K107" i="10556"/>
  <c r="K126" i="10556" s="1"/>
  <c r="Q115" i="10556"/>
  <c r="Q130" i="10556" s="1"/>
  <c r="Q116" i="10556"/>
  <c r="N115" i="4"/>
  <c r="I115" i="4"/>
  <c r="Q111" i="4"/>
  <c r="R102" i="4"/>
  <c r="O65" i="10556"/>
  <c r="O101" i="10556"/>
  <c r="AB103" i="4"/>
  <c r="K108" i="4"/>
  <c r="M117" i="4"/>
  <c r="F108" i="4"/>
  <c r="F101" i="4"/>
  <c r="AB97" i="4"/>
  <c r="S102" i="4"/>
  <c r="T115" i="4"/>
  <c r="AA97" i="4"/>
  <c r="U108" i="4"/>
  <c r="U111" i="4" s="1"/>
  <c r="AB107" i="4"/>
  <c r="AA107" i="4"/>
  <c r="AC107" i="4"/>
  <c r="R108" i="4"/>
  <c r="R115" i="4" s="1"/>
  <c r="Z107" i="4"/>
  <c r="T93" i="10556"/>
  <c r="T94" i="10556" s="1"/>
  <c r="T99" i="10556" s="1"/>
  <c r="P114" i="10556"/>
  <c r="P116" i="10556" s="1"/>
  <c r="P113" i="10556"/>
  <c r="P129" i="10556" s="1"/>
  <c r="H114" i="10556"/>
  <c r="H116" i="10556" s="1"/>
  <c r="H113" i="10556"/>
  <c r="H129" i="10556" s="1"/>
  <c r="H128" i="10556"/>
  <c r="H125" i="10556"/>
  <c r="N114" i="10556"/>
  <c r="N116" i="10556" s="1"/>
  <c r="N113" i="10556"/>
  <c r="N129" i="10556" s="1"/>
  <c r="M115" i="10556"/>
  <c r="M130" i="10556" s="1"/>
  <c r="K114" i="10556"/>
  <c r="K116" i="10556" s="1"/>
  <c r="K113" i="10556"/>
  <c r="K129" i="10556" s="1"/>
  <c r="T88" i="10556"/>
  <c r="I114" i="10556"/>
  <c r="I116" i="10556" s="1"/>
  <c r="I113" i="10556"/>
  <c r="I129" i="10556" s="1"/>
  <c r="G114" i="10556"/>
  <c r="G116" i="10556" s="1"/>
  <c r="G113" i="10556"/>
  <c r="G129" i="10556" s="1"/>
  <c r="G126" i="10556"/>
  <c r="J115" i="10556"/>
  <c r="J130" i="10556" s="1"/>
  <c r="F115" i="10556"/>
  <c r="F130" i="10556" s="1"/>
  <c r="F116" i="10556"/>
  <c r="L115" i="10556"/>
  <c r="L130" i="10556" s="1"/>
  <c r="P95" i="10556"/>
  <c r="Q95" i="10556"/>
  <c r="R87" i="10556"/>
  <c r="U64" i="10556"/>
  <c r="U65" i="10556" s="1"/>
  <c r="U84" i="10556"/>
  <c r="S87" i="10556"/>
  <c r="Q110" i="4"/>
  <c r="Q113" i="4"/>
  <c r="Q117" i="4" s="1"/>
  <c r="U68" i="4"/>
  <c r="U69" i="4"/>
  <c r="U106" i="4"/>
  <c r="U101" i="4"/>
  <c r="T101" i="10556"/>
  <c r="T65" i="10556"/>
  <c r="I110" i="4"/>
  <c r="I113" i="4"/>
  <c r="I117" i="4" s="1"/>
  <c r="P110" i="4"/>
  <c r="P113" i="4"/>
  <c r="P117" i="4" s="1"/>
  <c r="K113" i="4"/>
  <c r="Z99" i="4"/>
  <c r="L110" i="4"/>
  <c r="L113" i="4"/>
  <c r="L117" i="4" s="1"/>
  <c r="G113" i="4"/>
  <c r="G117" i="4" s="1"/>
  <c r="G110" i="4"/>
  <c r="J110" i="4"/>
  <c r="J113" i="4"/>
  <c r="J117" i="4" s="1"/>
  <c r="O113" i="4"/>
  <c r="O117" i="4" s="1"/>
  <c r="O110" i="4"/>
  <c r="U102" i="4"/>
  <c r="Z103" i="4"/>
  <c r="S68" i="4"/>
  <c r="S69" i="4"/>
  <c r="S64" i="10556" s="1"/>
  <c r="R106" i="4"/>
  <c r="R101" i="4"/>
  <c r="AC97" i="4"/>
  <c r="Z97" i="4"/>
  <c r="AC103" i="4"/>
  <c r="S101" i="4"/>
  <c r="S106" i="4"/>
  <c r="N113" i="4"/>
  <c r="N110" i="4"/>
  <c r="AA114" i="4"/>
  <c r="AC114" i="4"/>
  <c r="Z114" i="4"/>
  <c r="AB114" i="4"/>
  <c r="E92" i="4"/>
  <c r="E99" i="4"/>
  <c r="E103" i="4"/>
  <c r="R68" i="4"/>
  <c r="R69" i="4"/>
  <c r="R64" i="10556" s="1"/>
  <c r="AC99" i="4"/>
  <c r="D99" i="4"/>
  <c r="D92" i="4"/>
  <c r="D103" i="4"/>
  <c r="D113" i="4"/>
  <c r="T110" i="4"/>
  <c r="T113" i="4"/>
  <c r="E113" i="4"/>
  <c r="D58" i="4"/>
  <c r="D67" i="4" s="1"/>
  <c r="H113" i="4"/>
  <c r="H117" i="4" s="1"/>
  <c r="H110" i="4"/>
  <c r="V113" i="4" l="1"/>
  <c r="V117" i="4" s="1"/>
  <c r="V110" i="4"/>
  <c r="V65" i="10556"/>
  <c r="V101" i="10556"/>
  <c r="U115" i="4"/>
  <c r="L117" i="10556"/>
  <c r="N117" i="4"/>
  <c r="AB102" i="4"/>
  <c r="Q117" i="10556"/>
  <c r="J117" i="10556"/>
  <c r="T109" i="10556"/>
  <c r="T127" i="10556" s="1"/>
  <c r="T111" i="10556"/>
  <c r="T128" i="10556" s="1"/>
  <c r="T105" i="10556"/>
  <c r="T107" i="10556"/>
  <c r="T126" i="10556" s="1"/>
  <c r="M117" i="10556"/>
  <c r="O111" i="10556"/>
  <c r="O128" i="10556" s="1"/>
  <c r="O109" i="10556"/>
  <c r="O127" i="10556" s="1"/>
  <c r="O105" i="10556"/>
  <c r="O125" i="10556" s="1"/>
  <c r="O107" i="10556"/>
  <c r="O126" i="10556" s="1"/>
  <c r="F117" i="10556"/>
  <c r="R111" i="4"/>
  <c r="T117" i="4"/>
  <c r="AA102" i="4"/>
  <c r="AC102" i="4"/>
  <c r="Z101" i="4"/>
  <c r="K115" i="4"/>
  <c r="K117" i="4" s="1"/>
  <c r="K111" i="4"/>
  <c r="F115" i="4"/>
  <c r="F117" i="4" s="1"/>
  <c r="F111" i="4"/>
  <c r="AA111" i="4" s="1"/>
  <c r="F110" i="4"/>
  <c r="O114" i="10556"/>
  <c r="O116" i="10556" s="1"/>
  <c r="O113" i="10556"/>
  <c r="O129" i="10556" s="1"/>
  <c r="K110" i="4"/>
  <c r="U101" i="10556"/>
  <c r="AA106" i="4"/>
  <c r="AB108" i="4"/>
  <c r="AC101" i="4"/>
  <c r="AA108" i="4"/>
  <c r="Z106" i="4"/>
  <c r="AC108" i="4"/>
  <c r="Z102" i="4"/>
  <c r="AC106" i="4"/>
  <c r="Z108" i="4"/>
  <c r="AA103" i="4"/>
  <c r="AB101" i="4"/>
  <c r="AB106" i="4"/>
  <c r="N115" i="10556"/>
  <c r="N130" i="10556" s="1"/>
  <c r="P115" i="10556"/>
  <c r="P130" i="10556" s="1"/>
  <c r="G115" i="10556"/>
  <c r="G130" i="10556" s="1"/>
  <c r="R65" i="10556"/>
  <c r="R101" i="10556"/>
  <c r="K115" i="10556"/>
  <c r="K130" i="10556" s="1"/>
  <c r="H115" i="10556"/>
  <c r="H130" i="10556" s="1"/>
  <c r="T95" i="10556"/>
  <c r="I115" i="10556"/>
  <c r="I130" i="10556" s="1"/>
  <c r="S93" i="10556"/>
  <c r="S94" i="10556" s="1"/>
  <c r="S99" i="10556" s="1"/>
  <c r="R93" i="10556"/>
  <c r="R94" i="10556" s="1"/>
  <c r="R99" i="10556" s="1"/>
  <c r="S88" i="10556"/>
  <c r="R88" i="10556"/>
  <c r="U87" i="10556"/>
  <c r="U88" i="10556" s="1"/>
  <c r="S113" i="4"/>
  <c r="S117" i="4" s="1"/>
  <c r="S110" i="4"/>
  <c r="T114" i="10556"/>
  <c r="T116" i="10556" s="1"/>
  <c r="T113" i="10556"/>
  <c r="T129" i="10556" s="1"/>
  <c r="D108" i="4"/>
  <c r="D101" i="4"/>
  <c r="R113" i="4"/>
  <c r="R117" i="4" s="1"/>
  <c r="R110" i="4"/>
  <c r="U110" i="4"/>
  <c r="U113" i="4"/>
  <c r="U117" i="4" s="1"/>
  <c r="E108" i="4"/>
  <c r="E101" i="4"/>
  <c r="D68" i="4"/>
  <c r="D69" i="4"/>
  <c r="D64" i="10556" s="1"/>
  <c r="D65" i="10556" s="1"/>
  <c r="S101" i="10556"/>
  <c r="S65" i="10556"/>
  <c r="V107" i="10556" l="1"/>
  <c r="V126" i="10556" s="1"/>
  <c r="V109" i="10556"/>
  <c r="V127" i="10556" s="1"/>
  <c r="V105" i="10556"/>
  <c r="V125" i="10556" s="1"/>
  <c r="V111" i="10556"/>
  <c r="V128" i="10556" s="1"/>
  <c r="AC111" i="4"/>
  <c r="I117" i="10556"/>
  <c r="K117" i="10556"/>
  <c r="R109" i="10556"/>
  <c r="R111" i="10556"/>
  <c r="R128" i="10556" s="1"/>
  <c r="R107" i="10556"/>
  <c r="R126" i="10556" s="1"/>
  <c r="R105" i="10556"/>
  <c r="R125" i="10556" s="1"/>
  <c r="U109" i="10556"/>
  <c r="U111" i="10556"/>
  <c r="U128" i="10556" s="1"/>
  <c r="U107" i="10556"/>
  <c r="U126" i="10556" s="1"/>
  <c r="U105" i="10556"/>
  <c r="U125" i="10556" s="1"/>
  <c r="H117" i="10556"/>
  <c r="T125" i="10556"/>
  <c r="G117" i="10556"/>
  <c r="N117" i="10556"/>
  <c r="S109" i="10556"/>
  <c r="S127" i="10556" s="1"/>
  <c r="S111" i="10556"/>
  <c r="S128" i="10556" s="1"/>
  <c r="S105" i="10556"/>
  <c r="S125" i="10556" s="1"/>
  <c r="S107" i="10556"/>
  <c r="S126" i="10556" s="1"/>
  <c r="P117" i="10556"/>
  <c r="Q119" i="10556"/>
  <c r="Q124" i="10556"/>
  <c r="Q131" i="10556" s="1"/>
  <c r="AB111" i="4"/>
  <c r="Z111" i="4"/>
  <c r="U113" i="10556"/>
  <c r="U129" i="10556" s="1"/>
  <c r="U127" i="10556"/>
  <c r="U114" i="10556"/>
  <c r="U116" i="10556" s="1"/>
  <c r="O115" i="10556"/>
  <c r="O130" i="10556" s="1"/>
  <c r="AA110" i="4"/>
  <c r="AB110" i="4"/>
  <c r="Z110" i="4"/>
  <c r="AC110" i="4"/>
  <c r="R127" i="10556"/>
  <c r="R114" i="10556"/>
  <c r="R116" i="10556" s="1"/>
  <c r="R113" i="10556"/>
  <c r="R129" i="10556" s="1"/>
  <c r="U93" i="10556"/>
  <c r="U94" i="10556" s="1"/>
  <c r="S95" i="10556"/>
  <c r="R95" i="10556"/>
  <c r="AB113" i="4"/>
  <c r="T115" i="10556"/>
  <c r="T130" i="10556" s="1"/>
  <c r="AC113" i="4"/>
  <c r="E111" i="4"/>
  <c r="E115" i="4"/>
  <c r="E117" i="4" s="1"/>
  <c r="E110" i="4"/>
  <c r="D111" i="4"/>
  <c r="D115" i="4"/>
  <c r="D110" i="4"/>
  <c r="AA101" i="4"/>
  <c r="S113" i="10556"/>
  <c r="S129" i="10556" s="1"/>
  <c r="S114" i="10556"/>
  <c r="S116" i="10556" s="1"/>
  <c r="AA113" i="4"/>
  <c r="Z113" i="4"/>
  <c r="R124" i="10556" l="1"/>
  <c r="O117" i="10556"/>
  <c r="S124" i="10556"/>
  <c r="T117" i="10556"/>
  <c r="I119" i="10556"/>
  <c r="I124" i="10556"/>
  <c r="I131" i="10556" s="1"/>
  <c r="L119" i="10556"/>
  <c r="L124" i="10556"/>
  <c r="L131" i="10556" s="1"/>
  <c r="K119" i="10556"/>
  <c r="K124" i="10556"/>
  <c r="K131" i="10556" s="1"/>
  <c r="T119" i="10556"/>
  <c r="T124" i="10556"/>
  <c r="T131" i="10556" s="1"/>
  <c r="F119" i="10556"/>
  <c r="F124" i="10556"/>
  <c r="F131" i="10556" s="1"/>
  <c r="O119" i="10556"/>
  <c r="O124" i="10556"/>
  <c r="O131" i="10556" s="1"/>
  <c r="V119" i="10556"/>
  <c r="V124" i="10556"/>
  <c r="H119" i="10556"/>
  <c r="H124" i="10556"/>
  <c r="H131" i="10556" s="1"/>
  <c r="P119" i="10556"/>
  <c r="P124" i="10556"/>
  <c r="P131" i="10556" s="1"/>
  <c r="N119" i="10556"/>
  <c r="N124" i="10556"/>
  <c r="N131" i="10556" s="1"/>
  <c r="J119" i="10556"/>
  <c r="J124" i="10556"/>
  <c r="J131" i="10556" s="1"/>
  <c r="U119" i="10556"/>
  <c r="U124" i="10556"/>
  <c r="M119" i="10556"/>
  <c r="M124" i="10556"/>
  <c r="M131" i="10556" s="1"/>
  <c r="G119" i="10556"/>
  <c r="G124" i="10556"/>
  <c r="G131" i="10556" s="1"/>
  <c r="U115" i="10556"/>
  <c r="U130" i="10556" s="1"/>
  <c r="R119" i="10556"/>
  <c r="U99" i="10556"/>
  <c r="U95" i="10556"/>
  <c r="R115" i="10556"/>
  <c r="R130" i="10556" s="1"/>
  <c r="S119" i="10556"/>
  <c r="S115" i="10556"/>
  <c r="S130" i="10556" s="1"/>
  <c r="S131" i="10556" s="1"/>
  <c r="AB115" i="4"/>
  <c r="AA115" i="4"/>
  <c r="Z115" i="4"/>
  <c r="AC115" i="4"/>
  <c r="D117" i="4"/>
  <c r="R131" i="10556" l="1"/>
  <c r="U131" i="10556"/>
  <c r="S117" i="10556"/>
  <c r="U117" i="10556"/>
  <c r="R117" i="10556"/>
  <c r="Z117" i="4"/>
  <c r="AB117" i="4"/>
  <c r="AC117" i="4"/>
  <c r="AA117" i="4"/>
  <c r="V112" i="10556"/>
  <c r="V114" i="10556" l="1"/>
  <c r="V116" i="10556" s="1"/>
  <c r="V113" i="10556"/>
  <c r="V115" i="10556" l="1"/>
  <c r="V130" i="10556" s="1"/>
  <c r="V129" i="10556"/>
  <c r="V117" i="10556" l="1"/>
  <c r="V131" i="10556"/>
</calcChain>
</file>

<file path=xl/sharedStrings.xml><?xml version="1.0" encoding="utf-8"?>
<sst xmlns="http://schemas.openxmlformats.org/spreadsheetml/2006/main" count="241" uniqueCount="156">
  <si>
    <t>Dairy Cows-July 1</t>
  </si>
  <si>
    <t>Total Cows-July 1</t>
  </si>
  <si>
    <t>Min</t>
  </si>
  <si>
    <t>Max</t>
  </si>
  <si>
    <t>Bull Lbs. / Cow</t>
  </si>
  <si>
    <t>Total Lbs. / Cow</t>
  </si>
  <si>
    <t>Heifers</t>
  </si>
  <si>
    <t>SD</t>
  </si>
  <si>
    <t>Ave.</t>
  </si>
  <si>
    <t>TOTAL ('000 Tonnes)</t>
  </si>
  <si>
    <t xml:space="preserve">Cow Culling rate </t>
  </si>
  <si>
    <t>Steers</t>
  </si>
  <si>
    <t>Cows</t>
  </si>
  <si>
    <t>Bulls</t>
  </si>
  <si>
    <t>Table 1</t>
  </si>
  <si>
    <t>Total</t>
  </si>
  <si>
    <t>Non Fed Component</t>
  </si>
  <si>
    <t>Steer Beef per cwt of Beef Cow</t>
  </si>
  <si>
    <t>Heifer Beef per cwt of Beef Cow</t>
  </si>
  <si>
    <t>Steer beef /Beef Cow</t>
  </si>
  <si>
    <t>Heifer Beef/ Beef Cow</t>
  </si>
  <si>
    <t>Bull Beef per Cwt of cow</t>
  </si>
  <si>
    <t>Steer No. / 100 Cows (lagged)</t>
  </si>
  <si>
    <t>Lagged beef Cows</t>
  </si>
  <si>
    <t>Potential Tonnage</t>
  </si>
  <si>
    <t>Exported Tonnage</t>
  </si>
  <si>
    <t>TOTAL F.I. SLAUGHTER</t>
  </si>
  <si>
    <t>SEX ADJUSTED SLAUGHTER</t>
  </si>
  <si>
    <t>TOTAL SLAUGHTER (CHECK)</t>
  </si>
  <si>
    <t xml:space="preserve">Percent PI slaughter </t>
  </si>
  <si>
    <t>Productivity Per 100 Cows</t>
  </si>
  <si>
    <t>Beef Cows -July 1 ,000 head (Source CANSIM 003 0032)</t>
  </si>
  <si>
    <t>Beef Cows/ 100 Beef Cows</t>
  </si>
  <si>
    <t>Beef Steers/100 Beef Cows (lagged)</t>
  </si>
  <si>
    <t>Total No. / 100 Beef Cows</t>
  </si>
  <si>
    <t xml:space="preserve">Beef Heifers as % of Beef Steers </t>
  </si>
  <si>
    <t>Steer Lbs. / Beef Cow (lagged)</t>
  </si>
  <si>
    <t>Heifer Lbs. / Beef Cow (lagged)</t>
  </si>
  <si>
    <t>CowLbs. / Beef Cow</t>
  </si>
  <si>
    <t>Cow Beef/Cow</t>
  </si>
  <si>
    <t>Cow Beef per cwt of Beef Cow</t>
  </si>
  <si>
    <t>Beef Heifer No. / 100 Beef Cows (lagged)</t>
  </si>
  <si>
    <t>Beef Bull No. /100 Beef Cows</t>
  </si>
  <si>
    <t>Production (Head)</t>
  </si>
  <si>
    <t>Female/ Male Ratio</t>
  </si>
  <si>
    <t>Beef Cows/ 100 Beef Cows*</t>
  </si>
  <si>
    <t>NOTE Beef Cows/100 excludes yrs 2003:2005 due to BSE</t>
  </si>
  <si>
    <t xml:space="preserve">Fed Steers </t>
  </si>
  <si>
    <t>Productivity of the National Beef Herd</t>
  </si>
  <si>
    <t>Apparent Beef Cow culling Rate %</t>
  </si>
  <si>
    <t xml:space="preserve">Fed Heifers </t>
  </si>
  <si>
    <t xml:space="preserve">Notes </t>
  </si>
  <si>
    <r>
      <rPr>
        <b/>
        <sz val="10"/>
        <rFont val="Arial"/>
        <family val="2"/>
      </rPr>
      <t>Note 1</t>
    </r>
    <r>
      <rPr>
        <sz val="10"/>
        <rFont val="Arial"/>
        <family val="2"/>
      </rPr>
      <t xml:space="preserve"> Source Codes for Slaughter Cattle Exports: Steers 2000-2011------(0102) 9061, Heifers 9064, Cows9063, Bulls9062; and 2012 forward Steers(0102)2951, Heifers 2954, Cows 2953, bulls 2952                                      </t>
    </r>
  </si>
  <si>
    <r>
      <rPr>
        <b/>
        <sz val="10"/>
        <rFont val="Arial"/>
        <family val="2"/>
      </rPr>
      <t xml:space="preserve">Note 2 </t>
    </r>
    <r>
      <rPr>
        <sz val="10"/>
        <rFont val="Arial"/>
        <family val="2"/>
      </rPr>
      <t xml:space="preserve">Source Codes for Feederr Cattle Exports: Steers 2000-2011------(0102) 9051+9091, Heifers 9052+9092: 2012 and forward Steers(0102)2941+2991, Heifers 2942+2992                                      </t>
    </r>
  </si>
  <si>
    <t>Dairy Contribution</t>
  </si>
  <si>
    <t>Dairy Steers</t>
  </si>
  <si>
    <t>Dairy cows</t>
  </si>
  <si>
    <t>Percent Dairy Cows</t>
  </si>
  <si>
    <t>2000-2016</t>
  </si>
  <si>
    <t xml:space="preserve">Retail &amp; Metric Wt. Basis </t>
  </si>
  <si>
    <t>Created by C.A. Gracey</t>
  </si>
  <si>
    <t xml:space="preserve">Canadian Cattle and Beef Supply and Disposition Balance Sheet </t>
  </si>
  <si>
    <t>Beef Supply in Canada</t>
  </si>
  <si>
    <t xml:space="preserve">Canadian Population '000 July 1 </t>
  </si>
  <si>
    <t>Apparent Per Capita Disappearance</t>
  </si>
  <si>
    <t>CANFAX</t>
  </si>
  <si>
    <t>STATS CAN</t>
  </si>
  <si>
    <t>Disposition of Canadian Beef Production</t>
  </si>
  <si>
    <t xml:space="preserve">    Exported as Fed Sl to USA</t>
  </si>
  <si>
    <t xml:space="preserve">    Exported as Non-Fed Sl to USA</t>
  </si>
  <si>
    <t xml:space="preserve">    Exported as feeder cattle to USA</t>
  </si>
  <si>
    <t xml:space="preserve">    Exported as Beef to USA</t>
  </si>
  <si>
    <t xml:space="preserve">    Exported as Beef to Mexico</t>
  </si>
  <si>
    <t xml:space="preserve">    Exported as Beef to Rest of World</t>
  </si>
  <si>
    <t xml:space="preserve">    Consumed in Canada</t>
  </si>
  <si>
    <t xml:space="preserve">   Total Tonnage</t>
  </si>
  <si>
    <t xml:space="preserve">    Total % (check</t>
  </si>
  <si>
    <t>Females</t>
  </si>
  <si>
    <t>Breeding Cattle Exports (head) Source S.C &amp; AAFC</t>
  </si>
  <si>
    <t xml:space="preserve">Note 3 Breeding Cattle- Bulls 2000-2011 (0102)1091+ 9071:2012 forward  2191 +2961 +9071Females 2000-2011 (0102)1092 +2962 + 9072b: 2012 forward (1010) 2192+2962 </t>
  </si>
  <si>
    <t xml:space="preserve">Sl. Cows </t>
  </si>
  <si>
    <t xml:space="preserve">Sl. Bulls </t>
  </si>
  <si>
    <t xml:space="preserve">  Lagged Total Cows</t>
  </si>
  <si>
    <t>Apparent Dairy Cow Culling rate</t>
  </si>
  <si>
    <t>Est.</t>
  </si>
  <si>
    <t>Rev</t>
  </si>
  <si>
    <t>Est</t>
  </si>
  <si>
    <t xml:space="preserve">Metric Weights </t>
  </si>
  <si>
    <t xml:space="preserve">Beef Cows July 1 '000 head* </t>
  </si>
  <si>
    <t>First Estimate</t>
  </si>
  <si>
    <t>*CANSIM 003 0032</t>
  </si>
  <si>
    <t>DOMESTIC SLAUGHTER HEAD</t>
  </si>
  <si>
    <t>**Source A009</t>
  </si>
  <si>
    <r>
      <t xml:space="preserve">P.I. SLAUGHTER </t>
    </r>
    <r>
      <rPr>
        <b/>
        <sz val="8"/>
        <rFont val="Arial"/>
        <family val="2"/>
      </rPr>
      <t>(Provincially Inspected)</t>
    </r>
  </si>
  <si>
    <t>TOTAL F.I. + P.I. SLAUGHTER</t>
  </si>
  <si>
    <t>THE BREEDING HERD</t>
  </si>
  <si>
    <t>AVERAGE CARCASS WEIGHTS (kg)</t>
  </si>
  <si>
    <t>DOM SLAUGHTER (,000 Tonnes)</t>
  </si>
  <si>
    <t>*** Source LS EXP to US 060 from 2000.</t>
  </si>
  <si>
    <t xml:space="preserve">SLAUGHTER CATTLE EXPORTS*** </t>
  </si>
  <si>
    <t>SLAUGHTER CATTLE EXPORT TONNAGE</t>
  </si>
  <si>
    <t>WEIGHTED AVERAGE</t>
  </si>
  <si>
    <t>TOTAL ('000 TONNES CARCASSS BASIS)</t>
  </si>
  <si>
    <t>****Source LS EXP to US 060 from 2000. Estimated 1999 and earlier</t>
  </si>
  <si>
    <t>FEEDER CATTLE EXPORTS AND TONNAGE****</t>
  </si>
  <si>
    <t xml:space="preserve"> Total Steers</t>
  </si>
  <si>
    <t>Beef</t>
  </si>
  <si>
    <t>Dairy</t>
  </si>
  <si>
    <t>Total Cows</t>
  </si>
  <si>
    <t>TOTAL</t>
  </si>
  <si>
    <t>TOTAL N0. / 100 BEEF COWS</t>
  </si>
  <si>
    <t>TOTAL LBS./ COW</t>
  </si>
  <si>
    <t>CARCASS WEIGHTS (KG AND RETAIL BASIS)</t>
  </si>
  <si>
    <t>TOTAL ('000 TONNES RETAIL BASIS)</t>
  </si>
  <si>
    <t>TOTAL PRODUCTIVE CAPACITY (CARCASS BASIS)</t>
  </si>
  <si>
    <t>PRODUCED IN CANADA</t>
  </si>
  <si>
    <t>( RETAIL BASIS)</t>
  </si>
  <si>
    <t xml:space="preserve">Beef Imports (Tonnes)***** </t>
  </si>
  <si>
    <t>*****Source AAFC Beef Supply at a Glance &amp; O&amp;) Red Meats imports by Country</t>
  </si>
  <si>
    <t xml:space="preserve"> USA</t>
  </si>
  <si>
    <t xml:space="preserve"> ROW</t>
  </si>
  <si>
    <t xml:space="preserve"> Beef and Processed</t>
  </si>
  <si>
    <t>Beef Exports (Tonnes)*****</t>
  </si>
  <si>
    <t>USA</t>
  </si>
  <si>
    <t>MEX</t>
  </si>
  <si>
    <t>ROW</t>
  </si>
  <si>
    <t>Beef and Processed</t>
  </si>
  <si>
    <t>Domestic Supply Minus Beef Exports</t>
  </si>
  <si>
    <t>Imports from USA</t>
  </si>
  <si>
    <t>Imports from ROW</t>
  </si>
  <si>
    <t>TOTAL SUPPLY AVAILABLE FOR CONSUMPTION</t>
  </si>
  <si>
    <t>Retail Basis</t>
  </si>
  <si>
    <t>Carcass Basis kg</t>
  </si>
  <si>
    <t xml:space="preserve"> Carcass Basis Pounds</t>
  </si>
  <si>
    <t xml:space="preserve"> Productive Capacity, of which</t>
  </si>
  <si>
    <t xml:space="preserve">    Pecentage Exported as Fed to USA</t>
  </si>
  <si>
    <t xml:space="preserve">    Pecentage Exported as Non-Fed to USA</t>
  </si>
  <si>
    <t xml:space="preserve">    Exported as Feeder Cattle to USA</t>
  </si>
  <si>
    <t xml:space="preserve">    Pecentage Exported as Feeder Cattle to USA</t>
  </si>
  <si>
    <t xml:space="preserve">    Percentage Exported as Beef to USA</t>
  </si>
  <si>
    <t xml:space="preserve">    Percentage Exported as Beef to Mexico</t>
  </si>
  <si>
    <t xml:space="preserve">    Percentage Exported as Beef to Rest of World</t>
  </si>
  <si>
    <t>Total Tonnage</t>
  </si>
  <si>
    <t>Total % (check)</t>
  </si>
  <si>
    <t>Error</t>
  </si>
  <si>
    <t>U.S. Subtotal %</t>
  </si>
  <si>
    <t xml:space="preserve">    Percentage Consumed in Canada</t>
  </si>
  <si>
    <t xml:space="preserve">Disposition of Canadian Beef Production </t>
  </si>
  <si>
    <r>
      <t xml:space="preserve"> F.I. SLAUGHTER </t>
    </r>
    <r>
      <rPr>
        <b/>
        <sz val="8"/>
        <rFont val="Arial"/>
        <family val="2"/>
      </rPr>
      <t>(Federally Inspected)**</t>
    </r>
  </si>
  <si>
    <t>TOTAL PRODUCTIVE CAPACITY (RETAIL BASIS)</t>
  </si>
  <si>
    <t>Projected Based on Q1</t>
  </si>
  <si>
    <t>Number of Beef Steers, Beef Heifers,Beef Cows and Beef Bulls marketed Per 100 Beef Cows</t>
  </si>
  <si>
    <t>COWS AND BULLS</t>
  </si>
  <si>
    <t>Canadian Beef Industry Productivity Analysis - Output per Cow 1996 to Present</t>
  </si>
  <si>
    <t>DIFFERENCE BETWEEN MY ESTIMATES AND STATSCAN</t>
  </si>
  <si>
    <t>PERCENT DOMESTIC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</si>
</sst>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3" formatCode="_-* #,##0.00_-;\-* #,##0.00_-;_-* &quot;-&quot;??_-;_-@_-"/>
    <numFmt numFmtId="164" formatCode="_(* #,##0.00_);_(* \(#,##0.00\);_(* &quot;-&quot;??_);_(@_)"/>
    <numFmt numFmtId="165" formatCode="0.000"/>
    <numFmt numFmtId="166" formatCode="0.0"/>
    <numFmt numFmtId="167" formatCode="0.0000"/>
    <numFmt numFmtId="168" formatCode="0.00000"/>
    <numFmt numFmtId="169" formatCode="0_)"/>
    <numFmt numFmtId="170" formatCode="0.00_)"/>
    <numFmt numFmtId="171" formatCode="#,##0.0"/>
    <numFmt numFmtId="172" formatCode="0.0%"/>
    <numFmt numFmtId="173" formatCode="0.000%"/>
    <numFmt numFmtId="174" formatCode="#,##0.000"/>
    <numFmt numFmtId="175" formatCode="#,##0.000000000"/>
    <numFmt numFmtId="176" formatCode="0.0000%"/>
  </numFmts>
  <fonts count="62">
    <font>
      <sz val="10"/>
      <name val="Arial"/>
    </font>
    <font>
      <sz val="10"/>
      <name val="Arial"/>
      <family val="2"/>
    </font>
    <font>
      <sz val="12"/>
      <name val="Arial MT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color theme="1"/>
      <name val="Tahoma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ndale WT"/>
      <family val="2"/>
    </font>
    <font>
      <sz val="10"/>
      <color theme="1"/>
      <name val="Arial"/>
      <family val="2"/>
    </font>
    <font>
      <sz val="11"/>
      <color rgb="FF000000"/>
      <name val="Calibri"/>
      <family val="2"/>
    </font>
    <font>
      <sz val="10"/>
      <color rgb="FF000000"/>
      <name val="Tahoma"/>
      <family val="2"/>
    </font>
    <font>
      <sz val="10"/>
      <color rgb="FF000000"/>
      <name val="Arial"/>
      <family val="2"/>
    </font>
    <font>
      <b/>
      <sz val="8"/>
      <color rgb="FF000000"/>
      <name val="Tahoma"/>
      <family val="2"/>
    </font>
    <font>
      <sz val="10"/>
      <color rgb="FFFF0000"/>
      <name val="Tahoma"/>
      <family val="2"/>
    </font>
    <font>
      <sz val="10"/>
      <color rgb="FFFF0000"/>
      <name val="Arial"/>
      <family val="2"/>
    </font>
    <font>
      <b/>
      <sz val="16"/>
      <color theme="5" tint="-0.249977111117893"/>
      <name val="Arial"/>
      <family val="2"/>
    </font>
    <font>
      <b/>
      <sz val="11"/>
      <name val="Arial"/>
      <family val="2"/>
    </font>
    <font>
      <sz val="14"/>
      <color theme="5" tint="-0.249977111117893"/>
      <name val="Arial"/>
      <family val="2"/>
    </font>
    <font>
      <b/>
      <i/>
      <sz val="12"/>
      <name val="Arial"/>
      <family val="2"/>
    </font>
    <font>
      <b/>
      <i/>
      <sz val="10"/>
      <name val="Arial"/>
      <family val="2"/>
    </font>
    <font>
      <b/>
      <sz val="14"/>
      <color theme="0"/>
      <name val="Arial"/>
      <family val="2"/>
    </font>
    <font>
      <b/>
      <u/>
      <sz val="11"/>
      <name val="Arial"/>
      <family val="2"/>
    </font>
    <font>
      <sz val="10"/>
      <color theme="0"/>
      <name val="Arial"/>
      <family val="2"/>
    </font>
    <font>
      <b/>
      <i/>
      <sz val="10"/>
      <color rgb="FFFF0000"/>
      <name val="Tahoma"/>
      <family val="2"/>
    </font>
  </fonts>
  <fills count="6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rgb="FF000000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rgb="FF000000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312">
    <xf numFmtId="0" fontId="0" fillId="0" borderId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26" fillId="2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26" fillId="2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26" fillId="26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26" fillId="27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26" fillId="2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26" fillId="29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26" fillId="3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26" fillId="3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26" fillId="32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26" fillId="3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26" fillId="34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26" fillId="35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27" fillId="36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27" fillId="37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27" fillId="38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27" fillId="39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27" fillId="40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27" fillId="41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27" fillId="42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27" fillId="43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27" fillId="44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27" fillId="45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27" fillId="46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27" fillId="47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28" fillId="48" borderId="0" applyNumberFormat="0" applyBorder="0" applyAlignment="0" applyProtection="0"/>
    <xf numFmtId="0" fontId="7" fillId="22" borderId="1" applyNumberFormat="0" applyAlignment="0" applyProtection="0"/>
    <xf numFmtId="0" fontId="7" fillId="22" borderId="1" applyNumberFormat="0" applyAlignment="0" applyProtection="0"/>
    <xf numFmtId="0" fontId="29" fillId="49" borderId="10" applyNumberFormat="0" applyAlignment="0" applyProtection="0"/>
    <xf numFmtId="0" fontId="8" fillId="23" borderId="2" applyNumberFormat="0" applyAlignment="0" applyProtection="0"/>
    <xf numFmtId="0" fontId="8" fillId="23" borderId="2" applyNumberFormat="0" applyAlignment="0" applyProtection="0"/>
    <xf numFmtId="0" fontId="30" fillId="50" borderId="11" applyNumberFormat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32" fillId="51" borderId="0" applyNumberFormat="0" applyBorder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33" fillId="0" borderId="12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34" fillId="0" borderId="13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35" fillId="0" borderId="14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4" fillId="9" borderId="1" applyNumberFormat="0" applyAlignment="0" applyProtection="0"/>
    <xf numFmtId="0" fontId="14" fillId="9" borderId="1" applyNumberFormat="0" applyAlignment="0" applyProtection="0"/>
    <xf numFmtId="0" fontId="36" fillId="52" borderId="10" applyNumberFormat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37" fillId="0" borderId="15" applyNumberFormat="0" applyFill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38" fillId="53" borderId="0" applyNumberFormat="0" applyBorder="0" applyAlignment="0" applyProtection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2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2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6" fillId="0" borderId="0"/>
    <xf numFmtId="0" fontId="26" fillId="0" borderId="0"/>
    <xf numFmtId="0" fontId="1" fillId="0" borderId="0">
      <alignment vertical="top"/>
    </xf>
    <xf numFmtId="0" fontId="39" fillId="0" borderId="0"/>
    <xf numFmtId="0" fontId="2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26" fillId="54" borderId="16" applyNumberFormat="0" applyFont="0" applyAlignment="0" applyProtection="0"/>
    <xf numFmtId="0" fontId="17" fillId="22" borderId="8" applyNumberFormat="0" applyAlignment="0" applyProtection="0"/>
    <xf numFmtId="0" fontId="17" fillId="22" borderId="8" applyNumberFormat="0" applyAlignment="0" applyProtection="0"/>
    <xf numFmtId="0" fontId="40" fillId="49" borderId="17" applyNumberFormat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42" fillId="0" borderId="18" applyNumberFormat="0" applyFill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43" fillId="0" borderId="0" applyNumberFormat="0" applyFill="0" applyBorder="0" applyAlignment="0" applyProtection="0"/>
  </cellStyleXfs>
  <cellXfs count="260">
    <xf numFmtId="0" fontId="0" fillId="0" borderId="0" xfId="0"/>
    <xf numFmtId="2" fontId="0" fillId="0" borderId="0" xfId="0" applyNumberFormat="1"/>
    <xf numFmtId="166" fontId="0" fillId="0" borderId="0" xfId="0" applyNumberFormat="1"/>
    <xf numFmtId="1" fontId="0" fillId="0" borderId="0" xfId="0" applyNumberFormat="1"/>
    <xf numFmtId="0" fontId="0" fillId="0" borderId="0" xfId="0" quotePrefix="1" applyAlignment="1">
      <alignment horizontal="left"/>
    </xf>
    <xf numFmtId="0" fontId="0" fillId="0" borderId="0" xfId="0" applyAlignment="1">
      <alignment horizontal="left"/>
    </xf>
    <xf numFmtId="169" fontId="0" fillId="0" borderId="0" xfId="0" applyNumberFormat="1" applyProtection="1"/>
    <xf numFmtId="170" fontId="0" fillId="0" borderId="0" xfId="0" applyNumberFormat="1" applyProtection="1"/>
    <xf numFmtId="10" fontId="0" fillId="0" borderId="0" xfId="0" applyNumberFormat="1" applyProtection="1"/>
    <xf numFmtId="165" fontId="0" fillId="0" borderId="0" xfId="0" applyNumberFormat="1"/>
    <xf numFmtId="168" fontId="0" fillId="0" borderId="0" xfId="0" applyNumberFormat="1"/>
    <xf numFmtId="167" fontId="0" fillId="0" borderId="0" xfId="0" applyNumberFormat="1"/>
    <xf numFmtId="1" fontId="0" fillId="0" borderId="0" xfId="0" applyNumberFormat="1" applyFont="1" applyAlignment="1"/>
    <xf numFmtId="1" fontId="2" fillId="0" borderId="0" xfId="0" applyNumberFormat="1" applyFont="1" applyAlignment="1"/>
    <xf numFmtId="3" fontId="0" fillId="0" borderId="0" xfId="0" applyNumberFormat="1"/>
    <xf numFmtId="0" fontId="3" fillId="0" borderId="0" xfId="0" applyFont="1"/>
    <xf numFmtId="4" fontId="0" fillId="0" borderId="0" xfId="0" applyNumberFormat="1"/>
    <xf numFmtId="4" fontId="3" fillId="0" borderId="0" xfId="0" applyNumberFormat="1" applyFont="1"/>
    <xf numFmtId="2" fontId="3" fillId="0" borderId="0" xfId="0" applyNumberFormat="1" applyFont="1"/>
    <xf numFmtId="171" fontId="0" fillId="0" borderId="0" xfId="0" applyNumberFormat="1"/>
    <xf numFmtId="2" fontId="0" fillId="0" borderId="0" xfId="0" quotePrefix="1" applyNumberFormat="1" applyAlignment="1">
      <alignment horizontal="left"/>
    </xf>
    <xf numFmtId="0" fontId="1" fillId="0" borderId="0" xfId="0" quotePrefix="1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/>
    <xf numFmtId="172" fontId="0" fillId="0" borderId="0" xfId="0" applyNumberFormat="1"/>
    <xf numFmtId="0" fontId="26" fillId="0" borderId="0" xfId="271"/>
    <xf numFmtId="0" fontId="0" fillId="0" borderId="0" xfId="0" applyNumberFormat="1"/>
    <xf numFmtId="9" fontId="0" fillId="0" borderId="0" xfId="0" applyNumberFormat="1"/>
    <xf numFmtId="3" fontId="1" fillId="55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/>
    <xf numFmtId="3" fontId="3" fillId="55" borderId="0" xfId="0" applyNumberFormat="1" applyFont="1" applyFill="1" applyBorder="1" applyAlignment="1" applyProtection="1"/>
    <xf numFmtId="3" fontId="0" fillId="55" borderId="0" xfId="0" applyNumberFormat="1" applyFill="1"/>
    <xf numFmtId="9" fontId="0" fillId="0" borderId="0" xfId="294" applyFont="1"/>
    <xf numFmtId="172" fontId="0" fillId="0" borderId="0" xfId="294" applyNumberFormat="1" applyFont="1"/>
    <xf numFmtId="0" fontId="0" fillId="55" borderId="0" xfId="0" applyFill="1"/>
    <xf numFmtId="1" fontId="0" fillId="55" borderId="0" xfId="0" applyNumberFormat="1" applyFill="1"/>
    <xf numFmtId="2" fontId="0" fillId="55" borderId="0" xfId="0" applyNumberFormat="1" applyFill="1"/>
    <xf numFmtId="4" fontId="0" fillId="55" borderId="0" xfId="0" applyNumberFormat="1" applyFill="1"/>
    <xf numFmtId="0" fontId="23" fillId="0" borderId="0" xfId="0" applyFont="1"/>
    <xf numFmtId="3" fontId="26" fillId="55" borderId="0" xfId="272" applyNumberFormat="1" applyFill="1"/>
    <xf numFmtId="10" fontId="1" fillId="55" borderId="0" xfId="294" applyNumberFormat="1" applyFont="1" applyFill="1" applyBorder="1" applyAlignment="1" applyProtection="1"/>
    <xf numFmtId="1" fontId="44" fillId="0" borderId="0" xfId="126" applyNumberFormat="1" applyFont="1" applyFill="1"/>
    <xf numFmtId="171" fontId="3" fillId="0" borderId="0" xfId="0" applyNumberFormat="1" applyFont="1"/>
    <xf numFmtId="3" fontId="0" fillId="56" borderId="0" xfId="0" applyNumberFormat="1" applyFill="1"/>
    <xf numFmtId="3" fontId="1" fillId="55" borderId="0" xfId="128" applyNumberFormat="1" applyFont="1" applyFill="1"/>
    <xf numFmtId="4" fontId="0" fillId="56" borderId="0" xfId="0" applyNumberFormat="1" applyFill="1"/>
    <xf numFmtId="172" fontId="0" fillId="56" borderId="0" xfId="0" applyNumberFormat="1" applyFill="1"/>
    <xf numFmtId="166" fontId="0" fillId="56" borderId="0" xfId="0" applyNumberFormat="1" applyFill="1"/>
    <xf numFmtId="2" fontId="0" fillId="56" borderId="0" xfId="0" applyNumberFormat="1" applyFill="1"/>
    <xf numFmtId="165" fontId="0" fillId="56" borderId="0" xfId="0" applyNumberFormat="1" applyFill="1"/>
    <xf numFmtId="171" fontId="0" fillId="56" borderId="0" xfId="0" applyNumberFormat="1" applyFill="1"/>
    <xf numFmtId="2" fontId="3" fillId="56" borderId="0" xfId="0" applyNumberFormat="1" applyFont="1" applyFill="1"/>
    <xf numFmtId="3" fontId="1" fillId="56" borderId="0" xfId="0" applyNumberFormat="1" applyFont="1" applyFill="1" applyBorder="1" applyAlignment="1" applyProtection="1"/>
    <xf numFmtId="171" fontId="1" fillId="56" borderId="0" xfId="0" applyNumberFormat="1" applyFont="1" applyFill="1" applyBorder="1" applyAlignment="1" applyProtection="1"/>
    <xf numFmtId="4" fontId="1" fillId="56" borderId="0" xfId="0" quotePrefix="1" applyNumberFormat="1" applyFont="1" applyFill="1" applyBorder="1" applyAlignment="1" applyProtection="1"/>
    <xf numFmtId="4" fontId="1" fillId="55" borderId="0" xfId="128" applyNumberFormat="1" applyFill="1"/>
    <xf numFmtId="174" fontId="0" fillId="0" borderId="0" xfId="0" applyNumberFormat="1"/>
    <xf numFmtId="4" fontId="26" fillId="55" borderId="0" xfId="271" applyNumberFormat="1" applyFill="1"/>
    <xf numFmtId="0" fontId="1" fillId="0" borderId="0" xfId="0" applyFont="1" applyAlignment="1">
      <alignment horizontal="left" wrapText="1"/>
    </xf>
    <xf numFmtId="0" fontId="1" fillId="55" borderId="0" xfId="128" applyFill="1"/>
    <xf numFmtId="3" fontId="0" fillId="55" borderId="0" xfId="0" applyNumberFormat="1" applyFill="1" applyAlignment="1">
      <alignment vertical="top"/>
    </xf>
    <xf numFmtId="3" fontId="1" fillId="55" borderId="0" xfId="128" applyNumberFormat="1" applyFill="1" applyAlignment="1">
      <alignment vertical="top"/>
    </xf>
    <xf numFmtId="3" fontId="39" fillId="55" borderId="0" xfId="274" applyNumberFormat="1" applyFill="1"/>
    <xf numFmtId="4" fontId="1" fillId="0" borderId="0" xfId="0" applyNumberFormat="1" applyFont="1" applyFill="1" applyBorder="1" applyAlignment="1" applyProtection="1"/>
    <xf numFmtId="3" fontId="1" fillId="0" borderId="0" xfId="0" applyNumberFormat="1" applyFont="1" applyFill="1" applyBorder="1" applyAlignment="1" applyProtection="1"/>
    <xf numFmtId="3" fontId="0" fillId="0" borderId="0" xfId="0" applyNumberFormat="1" applyFill="1"/>
    <xf numFmtId="0" fontId="0" fillId="0" borderId="0" xfId="0" applyFill="1"/>
    <xf numFmtId="10" fontId="0" fillId="0" borderId="0" xfId="0" applyNumberFormat="1"/>
    <xf numFmtId="4" fontId="26" fillId="0" borderId="0" xfId="271" applyNumberFormat="1"/>
    <xf numFmtId="0" fontId="0" fillId="0" borderId="0" xfId="0" applyFont="1" applyAlignment="1">
      <alignment horizontal="left"/>
    </xf>
    <xf numFmtId="173" fontId="0" fillId="0" borderId="0" xfId="294" applyNumberFormat="1" applyFont="1"/>
    <xf numFmtId="165" fontId="3" fillId="0" borderId="0" xfId="0" applyNumberFormat="1" applyFont="1"/>
    <xf numFmtId="1" fontId="0" fillId="56" borderId="0" xfId="0" applyNumberFormat="1" applyFill="1"/>
    <xf numFmtId="3" fontId="1" fillId="0" borderId="0" xfId="128" applyNumberFormat="1" applyFill="1"/>
    <xf numFmtId="3" fontId="1" fillId="55" borderId="0" xfId="128" applyNumberFormat="1" applyFill="1"/>
    <xf numFmtId="176" fontId="0" fillId="0" borderId="0" xfId="294" applyNumberFormat="1" applyFont="1"/>
    <xf numFmtId="1" fontId="0" fillId="0" borderId="0" xfId="0" applyNumberFormat="1" applyFill="1"/>
    <xf numFmtId="0" fontId="3" fillId="0" borderId="0" xfId="0" applyFont="1" applyFill="1"/>
    <xf numFmtId="4" fontId="1" fillId="0" borderId="0" xfId="0" quotePrefix="1" applyNumberFormat="1" applyFont="1" applyFill="1" applyBorder="1" applyAlignment="1" applyProtection="1"/>
    <xf numFmtId="1" fontId="3" fillId="56" borderId="0" xfId="0" applyNumberFormat="1" applyFont="1" applyFill="1"/>
    <xf numFmtId="3" fontId="3" fillId="56" borderId="0" xfId="0" applyNumberFormat="1" applyFont="1" applyFill="1"/>
    <xf numFmtId="1" fontId="44" fillId="56" borderId="0" xfId="126" applyNumberFormat="1" applyFont="1" applyFill="1"/>
    <xf numFmtId="1" fontId="1" fillId="56" borderId="0" xfId="128" applyNumberFormat="1" applyFill="1"/>
    <xf numFmtId="172" fontId="1" fillId="0" borderId="0" xfId="294" applyNumberFormat="1" applyFont="1" applyFill="1" applyBorder="1" applyAlignment="1" applyProtection="1"/>
    <xf numFmtId="0" fontId="0" fillId="58" borderId="0" xfId="0" applyFill="1"/>
    <xf numFmtId="0" fontId="1" fillId="58" borderId="0" xfId="0" applyFont="1" applyFill="1"/>
    <xf numFmtId="3" fontId="1" fillId="58" borderId="0" xfId="0" applyNumberFormat="1" applyFont="1" applyFill="1" applyBorder="1" applyAlignment="1" applyProtection="1"/>
    <xf numFmtId="0" fontId="54" fillId="0" borderId="0" xfId="0" applyFont="1"/>
    <xf numFmtId="0" fontId="55" fillId="0" borderId="0" xfId="0" applyFont="1"/>
    <xf numFmtId="0" fontId="56" fillId="0" borderId="0" xfId="0" applyFont="1"/>
    <xf numFmtId="0" fontId="57" fillId="0" borderId="0" xfId="0" applyFont="1"/>
    <xf numFmtId="3" fontId="57" fillId="55" borderId="0" xfId="0" applyNumberFormat="1" applyFont="1" applyFill="1"/>
    <xf numFmtId="3" fontId="0" fillId="59" borderId="0" xfId="0" applyNumberFormat="1" applyFill="1"/>
    <xf numFmtId="3" fontId="3" fillId="59" borderId="0" xfId="0" applyNumberFormat="1" applyFont="1" applyFill="1"/>
    <xf numFmtId="3" fontId="57" fillId="55" borderId="0" xfId="0" applyNumberFormat="1" applyFont="1" applyFill="1" applyBorder="1" applyAlignment="1" applyProtection="1"/>
    <xf numFmtId="3" fontId="57" fillId="55" borderId="0" xfId="128" applyNumberFormat="1" applyFont="1" applyFill="1"/>
    <xf numFmtId="3" fontId="1" fillId="59" borderId="0" xfId="0" applyNumberFormat="1" applyFont="1" applyFill="1" applyBorder="1" applyAlignment="1" applyProtection="1"/>
    <xf numFmtId="168" fontId="1" fillId="59" borderId="0" xfId="128" applyNumberFormat="1" applyFill="1"/>
    <xf numFmtId="3" fontId="57" fillId="56" borderId="0" xfId="0" applyNumberFormat="1" applyFont="1" applyFill="1" applyBorder="1" applyAlignment="1" applyProtection="1"/>
    <xf numFmtId="0" fontId="58" fillId="60" borderId="0" xfId="128" applyFont="1" applyFill="1"/>
    <xf numFmtId="0" fontId="59" fillId="0" borderId="0" xfId="0" applyFont="1" applyAlignment="1">
      <alignment wrapText="1"/>
    </xf>
    <xf numFmtId="0" fontId="59" fillId="0" borderId="0" xfId="0" applyFont="1"/>
    <xf numFmtId="10" fontId="1" fillId="59" borderId="0" xfId="294" applyNumberFormat="1" applyFont="1" applyFill="1" applyBorder="1" applyAlignment="1" applyProtection="1"/>
    <xf numFmtId="10" fontId="1" fillId="59" borderId="0" xfId="128" applyNumberFormat="1" applyFill="1"/>
    <xf numFmtId="1" fontId="57" fillId="56" borderId="0" xfId="0" applyNumberFormat="1" applyFont="1" applyFill="1"/>
    <xf numFmtId="2" fontId="57" fillId="56" borderId="0" xfId="0" applyNumberFormat="1" applyFont="1" applyFill="1"/>
    <xf numFmtId="4" fontId="57" fillId="56" borderId="0" xfId="0" applyNumberFormat="1" applyFont="1" applyFill="1"/>
    <xf numFmtId="171" fontId="57" fillId="56" borderId="0" xfId="0" applyNumberFormat="1" applyFont="1" applyFill="1" applyBorder="1" applyAlignment="1" applyProtection="1"/>
    <xf numFmtId="0" fontId="58" fillId="60" borderId="0" xfId="0" applyNumberFormat="1" applyFont="1" applyFill="1" applyBorder="1" applyAlignment="1" applyProtection="1">
      <alignment wrapText="1"/>
    </xf>
    <xf numFmtId="0" fontId="1" fillId="0" borderId="0" xfId="0" applyNumberFormat="1" applyFont="1" applyFill="1" applyBorder="1" applyAlignment="1" applyProtection="1"/>
    <xf numFmtId="3" fontId="60" fillId="0" borderId="0" xfId="0" applyNumberFormat="1" applyFont="1"/>
    <xf numFmtId="0" fontId="60" fillId="0" borderId="0" xfId="0" applyFont="1"/>
    <xf numFmtId="3" fontId="60" fillId="0" borderId="0" xfId="0" applyNumberFormat="1" applyFont="1" applyFill="1" applyBorder="1" applyAlignment="1" applyProtection="1"/>
    <xf numFmtId="3" fontId="57" fillId="56" borderId="0" xfId="0" applyNumberFormat="1" applyFont="1" applyFill="1"/>
    <xf numFmtId="0" fontId="23" fillId="0" borderId="0" xfId="0" applyFont="1" applyAlignment="1">
      <alignment wrapText="1"/>
    </xf>
    <xf numFmtId="0" fontId="57" fillId="0" borderId="0" xfId="0" quotePrefix="1" applyFont="1" applyAlignment="1">
      <alignment horizontal="left"/>
    </xf>
    <xf numFmtId="2" fontId="57" fillId="0" borderId="0" xfId="0" applyNumberFormat="1" applyFont="1"/>
    <xf numFmtId="172" fontId="57" fillId="0" borderId="0" xfId="0" applyNumberFormat="1" applyFont="1"/>
    <xf numFmtId="171" fontId="57" fillId="56" borderId="0" xfId="0" applyNumberFormat="1" applyFont="1" applyFill="1"/>
    <xf numFmtId="0" fontId="3" fillId="0" borderId="0" xfId="0" applyNumberFormat="1" applyFont="1" applyFill="1" applyBorder="1" applyAlignment="1" applyProtection="1"/>
    <xf numFmtId="0" fontId="57" fillId="0" borderId="0" xfId="0" applyNumberFormat="1" applyFont="1" applyFill="1" applyBorder="1" applyAlignment="1" applyProtection="1"/>
    <xf numFmtId="4" fontId="1" fillId="56" borderId="0" xfId="0" applyNumberFormat="1" applyFont="1" applyFill="1" applyBorder="1" applyAlignment="1" applyProtection="1"/>
    <xf numFmtId="4" fontId="1" fillId="59" borderId="0" xfId="0" quotePrefix="1" applyNumberFormat="1" applyFont="1" applyFill="1" applyBorder="1" applyAlignment="1" applyProtection="1"/>
    <xf numFmtId="0" fontId="47" fillId="0" borderId="0" xfId="0" applyFont="1" applyAlignment="1" applyProtection="1">
      <alignment wrapText="1"/>
      <protection hidden="1"/>
    </xf>
    <xf numFmtId="0" fontId="0" fillId="0" borderId="0" xfId="0" applyProtection="1">
      <protection hidden="1"/>
    </xf>
    <xf numFmtId="0" fontId="47" fillId="0" borderId="0" xfId="0" applyFont="1" applyProtection="1">
      <protection hidden="1"/>
    </xf>
    <xf numFmtId="0" fontId="1" fillId="0" borderId="0" xfId="0" applyFont="1" applyAlignment="1" applyProtection="1">
      <alignment wrapText="1"/>
      <protection hidden="1"/>
    </xf>
    <xf numFmtId="0" fontId="0" fillId="0" borderId="0" xfId="0" applyAlignment="1" applyProtection="1">
      <alignment wrapText="1"/>
      <protection hidden="1"/>
    </xf>
    <xf numFmtId="0" fontId="0" fillId="0" borderId="0" xfId="0" applyAlignment="1" applyProtection="1">
      <protection hidden="1"/>
    </xf>
    <xf numFmtId="0" fontId="0" fillId="0" borderId="0" xfId="0" applyProtection="1"/>
    <xf numFmtId="0" fontId="55" fillId="0" borderId="0" xfId="128" applyFont="1" applyProtection="1"/>
    <xf numFmtId="0" fontId="56" fillId="0" borderId="0" xfId="0" applyFont="1" applyProtection="1"/>
    <xf numFmtId="1" fontId="54" fillId="0" borderId="0" xfId="0" applyNumberFormat="1" applyFont="1" applyProtection="1"/>
    <xf numFmtId="3" fontId="0" fillId="0" borderId="0" xfId="0" applyNumberFormat="1" applyProtection="1"/>
    <xf numFmtId="0" fontId="58" fillId="60" borderId="0" xfId="128" applyFont="1" applyFill="1" applyProtection="1"/>
    <xf numFmtId="2" fontId="0" fillId="0" borderId="0" xfId="0" applyNumberFormat="1" applyProtection="1"/>
    <xf numFmtId="2" fontId="0" fillId="55" borderId="0" xfId="0" applyNumberFormat="1" applyFill="1" applyProtection="1"/>
    <xf numFmtId="3" fontId="0" fillId="55" borderId="0" xfId="0" applyNumberFormat="1" applyFill="1" applyProtection="1"/>
    <xf numFmtId="0" fontId="59" fillId="0" borderId="0" xfId="0" applyFont="1" applyAlignment="1" applyProtection="1">
      <alignment wrapText="1"/>
    </xf>
    <xf numFmtId="0" fontId="3" fillId="0" borderId="0" xfId="0" applyFont="1" applyProtection="1"/>
    <xf numFmtId="0" fontId="57" fillId="0" borderId="0" xfId="0" applyFont="1" applyProtection="1"/>
    <xf numFmtId="3" fontId="57" fillId="55" borderId="0" xfId="0" applyNumberFormat="1" applyFont="1" applyFill="1" applyProtection="1"/>
    <xf numFmtId="10" fontId="0" fillId="55" borderId="0" xfId="294" applyNumberFormat="1" applyFont="1" applyFill="1" applyProtection="1"/>
    <xf numFmtId="0" fontId="59" fillId="0" borderId="0" xfId="0" applyFont="1" applyProtection="1"/>
    <xf numFmtId="3" fontId="0" fillId="56" borderId="0" xfId="0" applyNumberFormat="1" applyFill="1" applyProtection="1"/>
    <xf numFmtId="3" fontId="57" fillId="56" borderId="0" xfId="0" applyNumberFormat="1" applyFont="1" applyFill="1" applyProtection="1"/>
    <xf numFmtId="166" fontId="0" fillId="56" borderId="0" xfId="0" applyNumberFormat="1" applyFill="1" applyProtection="1"/>
    <xf numFmtId="166" fontId="0" fillId="0" borderId="0" xfId="0" applyNumberFormat="1" applyProtection="1"/>
    <xf numFmtId="166" fontId="57" fillId="56" borderId="0" xfId="0" applyNumberFormat="1" applyFont="1" applyFill="1" applyProtection="1"/>
    <xf numFmtId="2" fontId="0" fillId="56" borderId="0" xfId="0" applyNumberFormat="1" applyFill="1" applyProtection="1"/>
    <xf numFmtId="2" fontId="3" fillId="56" borderId="0" xfId="0" applyNumberFormat="1" applyFont="1" applyFill="1" applyProtection="1"/>
    <xf numFmtId="0" fontId="1" fillId="0" borderId="0" xfId="0" applyFont="1" applyProtection="1"/>
    <xf numFmtId="175" fontId="0" fillId="0" borderId="0" xfId="0" applyNumberFormat="1" applyProtection="1"/>
    <xf numFmtId="1" fontId="57" fillId="56" borderId="0" xfId="0" applyNumberFormat="1" applyFont="1" applyFill="1" applyProtection="1"/>
    <xf numFmtId="2" fontId="57" fillId="56" borderId="0" xfId="0" applyNumberFormat="1" applyFont="1" applyFill="1" applyProtection="1"/>
    <xf numFmtId="0" fontId="0" fillId="56" borderId="0" xfId="0" applyFill="1" applyProtection="1"/>
    <xf numFmtId="0" fontId="0" fillId="0" borderId="0" xfId="0" applyFill="1" applyProtection="1"/>
    <xf numFmtId="0" fontId="58" fillId="60" borderId="0" xfId="128" applyFont="1" applyFill="1" applyAlignment="1" applyProtection="1">
      <alignment wrapText="1"/>
    </xf>
    <xf numFmtId="0" fontId="24" fillId="0" borderId="0" xfId="0" applyFont="1" applyProtection="1"/>
    <xf numFmtId="3" fontId="24" fillId="0" borderId="0" xfId="0" applyNumberFormat="1" applyFont="1" applyAlignment="1" applyProtection="1"/>
    <xf numFmtId="0" fontId="1" fillId="0" borderId="0" xfId="128" applyFont="1" applyProtection="1"/>
    <xf numFmtId="3" fontId="50" fillId="0" borderId="0" xfId="273" applyNumberFormat="1" applyFont="1" applyFill="1" applyBorder="1" applyAlignment="1" applyProtection="1">
      <alignment horizontal="right" vertical="top"/>
    </xf>
    <xf numFmtId="3" fontId="50" fillId="0" borderId="0" xfId="273" applyNumberFormat="1" applyFont="1" applyFill="1" applyAlignment="1" applyProtection="1">
      <alignment horizontal="right" vertical="top"/>
    </xf>
    <xf numFmtId="3" fontId="51" fillId="55" borderId="0" xfId="273" applyNumberFormat="1" applyFont="1" applyFill="1" applyBorder="1" applyAlignment="1" applyProtection="1">
      <alignment horizontal="right" vertical="top"/>
    </xf>
    <xf numFmtId="3" fontId="48" fillId="55" borderId="0" xfId="273" applyNumberFormat="1" applyFont="1" applyFill="1" applyBorder="1" applyAlignment="1" applyProtection="1">
      <alignment horizontal="right" vertical="top"/>
    </xf>
    <xf numFmtId="3" fontId="48" fillId="57" borderId="0" xfId="273" applyNumberFormat="1" applyFont="1" applyFill="1" applyAlignment="1" applyProtection="1">
      <alignment horizontal="right" vertical="top"/>
    </xf>
    <xf numFmtId="3" fontId="1" fillId="55" borderId="0" xfId="128" applyNumberFormat="1" applyFill="1" applyProtection="1"/>
    <xf numFmtId="3" fontId="49" fillId="55" borderId="0" xfId="273" applyNumberFormat="1" applyFont="1" applyFill="1" applyBorder="1" applyAlignment="1" applyProtection="1">
      <alignment horizontal="right" vertical="center"/>
    </xf>
    <xf numFmtId="0" fontId="57" fillId="0" borderId="0" xfId="128" applyFont="1" applyProtection="1"/>
    <xf numFmtId="3" fontId="61" fillId="55" borderId="0" xfId="273" applyNumberFormat="1" applyFont="1" applyFill="1" applyBorder="1" applyAlignment="1" applyProtection="1">
      <alignment horizontal="right" vertical="top"/>
    </xf>
    <xf numFmtId="3" fontId="57" fillId="55" borderId="0" xfId="128" applyNumberFormat="1" applyFont="1" applyFill="1" applyProtection="1"/>
    <xf numFmtId="3" fontId="1" fillId="0" borderId="0" xfId="273" applyNumberFormat="1" applyFont="1" applyFill="1" applyAlignment="1" applyProtection="1">
      <alignment vertical="top"/>
    </xf>
    <xf numFmtId="3" fontId="1" fillId="0" borderId="0" xfId="128" applyNumberFormat="1" applyFill="1" applyProtection="1"/>
    <xf numFmtId="0" fontId="1" fillId="0" borderId="0" xfId="128" applyFill="1" applyProtection="1"/>
    <xf numFmtId="3" fontId="49" fillId="55" borderId="0" xfId="273" applyNumberFormat="1" applyFont="1" applyFill="1" applyBorder="1" applyAlignment="1" applyProtection="1">
      <alignment horizontal="right" vertical="top"/>
    </xf>
    <xf numFmtId="3" fontId="49" fillId="57" borderId="0" xfId="273" applyNumberFormat="1" applyFont="1" applyFill="1" applyAlignment="1" applyProtection="1">
      <alignment horizontal="right" vertical="top"/>
    </xf>
    <xf numFmtId="3" fontId="57" fillId="55" borderId="0" xfId="273" applyNumberFormat="1" applyFont="1" applyFill="1" applyAlignment="1" applyProtection="1">
      <alignment vertical="top"/>
    </xf>
    <xf numFmtId="0" fontId="22" fillId="0" borderId="0" xfId="128" applyFont="1" applyProtection="1"/>
    <xf numFmtId="0" fontId="1" fillId="0" borderId="0" xfId="128" applyProtection="1"/>
    <xf numFmtId="1" fontId="1" fillId="0" borderId="0" xfId="128" applyNumberFormat="1" applyProtection="1"/>
    <xf numFmtId="3" fontId="52" fillId="0" borderId="0" xfId="0" applyNumberFormat="1" applyFont="1" applyProtection="1"/>
    <xf numFmtId="3" fontId="1" fillId="56" borderId="0" xfId="128" applyNumberFormat="1" applyFill="1" applyProtection="1"/>
    <xf numFmtId="3" fontId="52" fillId="55" borderId="0" xfId="128" applyNumberFormat="1" applyFont="1" applyFill="1" applyProtection="1"/>
    <xf numFmtId="4" fontId="1" fillId="55" borderId="0" xfId="128" applyNumberFormat="1" applyFill="1" applyProtection="1"/>
    <xf numFmtId="0" fontId="59" fillId="0" borderId="0" xfId="128" applyFont="1" applyProtection="1"/>
    <xf numFmtId="2" fontId="1" fillId="56" borderId="0" xfId="128" applyNumberFormat="1" applyFill="1" applyProtection="1"/>
    <xf numFmtId="2" fontId="1" fillId="0" borderId="0" xfId="128" applyNumberFormat="1" applyProtection="1"/>
    <xf numFmtId="4" fontId="1" fillId="0" borderId="0" xfId="128" applyNumberFormat="1" applyFill="1" applyProtection="1"/>
    <xf numFmtId="4" fontId="1" fillId="0" borderId="0" xfId="128" applyNumberFormat="1" applyFont="1" applyFill="1" applyProtection="1"/>
    <xf numFmtId="0" fontId="0" fillId="55" borderId="0" xfId="0" applyFill="1" applyProtection="1"/>
    <xf numFmtId="0" fontId="1" fillId="55" borderId="0" xfId="128" applyFill="1" applyProtection="1"/>
    <xf numFmtId="4" fontId="44" fillId="55" borderId="0" xfId="126" applyNumberFormat="1" applyFont="1" applyFill="1" applyProtection="1"/>
    <xf numFmtId="2" fontId="1" fillId="55" borderId="0" xfId="128" applyNumberFormat="1" applyFill="1" applyProtection="1"/>
    <xf numFmtId="0" fontId="59" fillId="0" borderId="0" xfId="128" applyFont="1" applyAlignment="1" applyProtection="1">
      <alignment wrapText="1"/>
    </xf>
    <xf numFmtId="172" fontId="0" fillId="56" borderId="0" xfId="294" applyNumberFormat="1" applyFont="1" applyFill="1" applyProtection="1"/>
    <xf numFmtId="172" fontId="0" fillId="0" borderId="0" xfId="0" applyNumberFormat="1" applyProtection="1"/>
    <xf numFmtId="9" fontId="0" fillId="56" borderId="0" xfId="294" applyFont="1" applyFill="1" applyProtection="1"/>
    <xf numFmtId="171" fontId="0" fillId="56" borderId="0" xfId="0" applyNumberFormat="1" applyFill="1" applyProtection="1"/>
    <xf numFmtId="10" fontId="0" fillId="56" borderId="0" xfId="294" applyNumberFormat="1" applyFont="1" applyFill="1" applyProtection="1"/>
    <xf numFmtId="0" fontId="1" fillId="0" borderId="0" xfId="128" applyFont="1" applyFill="1" applyProtection="1"/>
    <xf numFmtId="172" fontId="0" fillId="56" borderId="0" xfId="0" applyNumberFormat="1" applyFill="1" applyProtection="1"/>
    <xf numFmtId="0" fontId="23" fillId="0" borderId="0" xfId="128" applyFont="1" applyAlignment="1" applyProtection="1">
      <alignment wrapText="1"/>
    </xf>
    <xf numFmtId="172" fontId="0" fillId="0" borderId="0" xfId="294" applyNumberFormat="1" applyFont="1" applyProtection="1"/>
    <xf numFmtId="9" fontId="0" fillId="0" borderId="0" xfId="294" applyFont="1" applyProtection="1"/>
    <xf numFmtId="9" fontId="0" fillId="0" borderId="0" xfId="0" applyNumberFormat="1" applyProtection="1"/>
    <xf numFmtId="10" fontId="0" fillId="0" borderId="0" xfId="294" applyNumberFormat="1" applyFont="1" applyProtection="1"/>
    <xf numFmtId="0" fontId="22" fillId="0" borderId="0" xfId="128" applyFont="1" applyFill="1" applyProtection="1"/>
    <xf numFmtId="0" fontId="1" fillId="0" borderId="0" xfId="0" applyFont="1" applyAlignment="1" applyProtection="1">
      <alignment horizontal="left"/>
    </xf>
    <xf numFmtId="3" fontId="1" fillId="61" borderId="0" xfId="128" applyNumberFormat="1" applyFill="1" applyProtection="1"/>
    <xf numFmtId="3" fontId="57" fillId="61" borderId="0" xfId="128" applyNumberFormat="1" applyFont="1" applyFill="1" applyProtection="1"/>
    <xf numFmtId="2" fontId="0" fillId="61" borderId="0" xfId="0" applyNumberFormat="1" applyFill="1" applyProtection="1"/>
    <xf numFmtId="3" fontId="0" fillId="61" borderId="0" xfId="0" applyNumberFormat="1" applyFill="1" applyProtection="1"/>
    <xf numFmtId="10" fontId="0" fillId="61" borderId="0" xfId="294" applyNumberFormat="1" applyFont="1" applyFill="1" applyProtection="1"/>
    <xf numFmtId="0" fontId="0" fillId="61" borderId="0" xfId="0" applyFill="1" applyProtection="1"/>
    <xf numFmtId="166" fontId="0" fillId="61" borderId="0" xfId="0" applyNumberFormat="1" applyFill="1" applyProtection="1"/>
    <xf numFmtId="166" fontId="57" fillId="61" borderId="0" xfId="0" applyNumberFormat="1" applyFont="1" applyFill="1" applyProtection="1"/>
    <xf numFmtId="0" fontId="1" fillId="61" borderId="0" xfId="0" applyFont="1" applyFill="1" applyProtection="1"/>
    <xf numFmtId="1" fontId="57" fillId="61" borderId="0" xfId="0" applyNumberFormat="1" applyFont="1" applyFill="1" applyProtection="1"/>
    <xf numFmtId="3" fontId="49" fillId="62" borderId="0" xfId="273" applyNumberFormat="1" applyFont="1" applyFill="1" applyAlignment="1" applyProtection="1">
      <alignment horizontal="right" vertical="top"/>
    </xf>
    <xf numFmtId="0" fontId="57" fillId="61" borderId="0" xfId="0" applyFont="1" applyFill="1" applyProtection="1"/>
    <xf numFmtId="2" fontId="1" fillId="61" borderId="0" xfId="128" applyNumberFormat="1" applyFill="1" applyProtection="1"/>
    <xf numFmtId="4" fontId="0" fillId="61" borderId="0" xfId="0" applyNumberFormat="1" applyFill="1"/>
    <xf numFmtId="3" fontId="57" fillId="61" borderId="0" xfId="0" applyNumberFormat="1" applyFont="1" applyFill="1"/>
    <xf numFmtId="3" fontId="57" fillId="61" borderId="0" xfId="128" applyNumberFormat="1" applyFont="1" applyFill="1"/>
    <xf numFmtId="3" fontId="1" fillId="61" borderId="0" xfId="0" applyNumberFormat="1" applyFont="1" applyFill="1" applyBorder="1" applyAlignment="1" applyProtection="1"/>
    <xf numFmtId="3" fontId="57" fillId="61" borderId="0" xfId="0" applyNumberFormat="1" applyFont="1" applyFill="1" applyBorder="1" applyAlignment="1" applyProtection="1"/>
    <xf numFmtId="1" fontId="57" fillId="61" borderId="0" xfId="0" applyNumberFormat="1" applyFont="1" applyFill="1"/>
    <xf numFmtId="1" fontId="0" fillId="61" borderId="0" xfId="0" applyNumberFormat="1" applyFill="1"/>
    <xf numFmtId="3" fontId="0" fillId="61" borderId="0" xfId="0" applyNumberFormat="1" applyFill="1"/>
    <xf numFmtId="171" fontId="1" fillId="61" borderId="0" xfId="0" applyNumberFormat="1" applyFont="1" applyFill="1" applyBorder="1" applyAlignment="1" applyProtection="1"/>
    <xf numFmtId="3" fontId="1" fillId="61" borderId="0" xfId="0" quotePrefix="1" applyNumberFormat="1" applyFont="1" applyFill="1" applyBorder="1" applyAlignment="1" applyProtection="1"/>
    <xf numFmtId="0" fontId="53" fillId="0" borderId="0" xfId="0" applyFont="1" applyAlignment="1">
      <alignment horizontal="left" wrapText="1"/>
    </xf>
    <xf numFmtId="0" fontId="53" fillId="0" borderId="0" xfId="128" applyFont="1" applyAlignment="1">
      <alignment horizontal="left" vertical="top" wrapText="1"/>
    </xf>
    <xf numFmtId="166" fontId="0" fillId="0" borderId="0" xfId="0" applyNumberFormat="1" applyFill="1"/>
    <xf numFmtId="171" fontId="0" fillId="55" borderId="0" xfId="0" applyNumberFormat="1" applyFill="1"/>
    <xf numFmtId="0" fontId="53" fillId="0" borderId="0" xfId="128" applyFont="1" applyAlignment="1" applyProtection="1">
      <alignment horizontal="left" vertical="top" wrapText="1"/>
    </xf>
    <xf numFmtId="0" fontId="54" fillId="61" borderId="0" xfId="0" applyFont="1" applyFill="1" applyAlignment="1">
      <alignment horizontal="center" vertical="top" wrapText="1"/>
    </xf>
    <xf numFmtId="1" fontId="54" fillId="0" borderId="0" xfId="0" applyNumberFormat="1" applyFont="1" applyFill="1" applyAlignment="1">
      <alignment horizontal="center"/>
    </xf>
    <xf numFmtId="4" fontId="0" fillId="0" borderId="0" xfId="0" applyNumberFormat="1" applyFill="1"/>
    <xf numFmtId="10" fontId="1" fillId="61" borderId="0" xfId="294" applyNumberFormat="1" applyFont="1" applyFill="1" applyBorder="1" applyAlignment="1" applyProtection="1"/>
    <xf numFmtId="3" fontId="60" fillId="0" borderId="0" xfId="0" applyNumberFormat="1" applyFont="1" applyFill="1"/>
    <xf numFmtId="3" fontId="45" fillId="55" borderId="0" xfId="274" applyNumberFormat="1" applyFont="1" applyFill="1" applyBorder="1" applyAlignment="1">
      <alignment horizontal="right" vertical="top"/>
    </xf>
    <xf numFmtId="0" fontId="0" fillId="0" borderId="0" xfId="0" applyBorder="1"/>
    <xf numFmtId="3" fontId="46" fillId="55" borderId="0" xfId="274" applyNumberFormat="1" applyFont="1" applyFill="1" applyBorder="1" applyAlignment="1">
      <alignment horizontal="right" vertical="top"/>
    </xf>
    <xf numFmtId="2" fontId="0" fillId="61" borderId="0" xfId="0" applyNumberFormat="1" applyFill="1"/>
    <xf numFmtId="2" fontId="57" fillId="61" borderId="0" xfId="0" applyNumberFormat="1" applyFont="1" applyFill="1"/>
    <xf numFmtId="1" fontId="54" fillId="0" borderId="0" xfId="0" applyNumberFormat="1" applyFont="1"/>
    <xf numFmtId="0" fontId="54" fillId="0" borderId="0" xfId="0" applyNumberFormat="1" applyFont="1"/>
    <xf numFmtId="0" fontId="57" fillId="0" borderId="0" xfId="0" applyFont="1" applyAlignment="1">
      <alignment horizontal="left"/>
    </xf>
    <xf numFmtId="172" fontId="57" fillId="56" borderId="0" xfId="294" applyNumberFormat="1" applyFont="1" applyFill="1"/>
    <xf numFmtId="9" fontId="57" fillId="56" borderId="0" xfId="294" applyFont="1" applyFill="1"/>
    <xf numFmtId="0" fontId="3" fillId="61" borderId="0" xfId="0" applyFont="1" applyFill="1" applyAlignment="1" applyProtection="1">
      <alignment horizontal="center" wrapText="1"/>
    </xf>
    <xf numFmtId="3" fontId="54" fillId="0" borderId="0" xfId="0" applyNumberFormat="1" applyFont="1" applyProtection="1"/>
    <xf numFmtId="166" fontId="0" fillId="0" borderId="0" xfId="0" applyNumberFormat="1" applyFill="1" applyProtection="1"/>
    <xf numFmtId="3" fontId="0" fillId="0" borderId="0" xfId="0" applyNumberFormat="1" applyFill="1" applyProtection="1"/>
    <xf numFmtId="10" fontId="57" fillId="55" borderId="0" xfId="128" applyNumberFormat="1" applyFont="1" applyFill="1" applyProtection="1"/>
    <xf numFmtId="10" fontId="57" fillId="61" borderId="0" xfId="128" applyNumberFormat="1" applyFont="1" applyFill="1" applyProtection="1"/>
    <xf numFmtId="10" fontId="1" fillId="0" borderId="0" xfId="128" applyNumberFormat="1" applyFill="1" applyProtection="1"/>
    <xf numFmtId="2" fontId="57" fillId="61" borderId="0" xfId="0" applyNumberFormat="1" applyFont="1" applyFill="1" applyProtection="1"/>
    <xf numFmtId="2" fontId="0" fillId="0" borderId="0" xfId="0" applyNumberFormat="1" applyFill="1" applyProtection="1"/>
  </cellXfs>
  <cellStyles count="312">
    <cellStyle name="20% - Accent1" xfId="1" builtinId="30" customBuiltin="1"/>
    <cellStyle name="20% - Accent1 2" xfId="2"/>
    <cellStyle name="20% - Accent1 3" xfId="3"/>
    <cellStyle name="20% - Accent2" xfId="4" builtinId="34" customBuiltin="1"/>
    <cellStyle name="20% - Accent2 2" xfId="5"/>
    <cellStyle name="20% - Accent2 3" xfId="6"/>
    <cellStyle name="20% - Accent3" xfId="7" builtinId="38" customBuiltin="1"/>
    <cellStyle name="20% - Accent3 2" xfId="8"/>
    <cellStyle name="20% - Accent3 3" xfId="9"/>
    <cellStyle name="20% - Accent4" xfId="10" builtinId="42" customBuiltin="1"/>
    <cellStyle name="20% - Accent4 2" xfId="11"/>
    <cellStyle name="20% - Accent4 3" xfId="12"/>
    <cellStyle name="20% - Accent5" xfId="13" builtinId="46" customBuiltin="1"/>
    <cellStyle name="20% - Accent5 2" xfId="14"/>
    <cellStyle name="20% - Accent5 3" xfId="15"/>
    <cellStyle name="20% - Accent6" xfId="16" builtinId="50" customBuiltin="1"/>
    <cellStyle name="20% - Accent6 2" xfId="17"/>
    <cellStyle name="20% - Accent6 3" xfId="18"/>
    <cellStyle name="40% - Accent1" xfId="19" builtinId="31" customBuiltin="1"/>
    <cellStyle name="40% - Accent1 2" xfId="20"/>
    <cellStyle name="40% - Accent1 3" xfId="21"/>
    <cellStyle name="40% - Accent2" xfId="22" builtinId="35" customBuiltin="1"/>
    <cellStyle name="40% - Accent2 2" xfId="23"/>
    <cellStyle name="40% - Accent2 3" xfId="24"/>
    <cellStyle name="40% - Accent3" xfId="25" builtinId="39" customBuiltin="1"/>
    <cellStyle name="40% - Accent3 2" xfId="26"/>
    <cellStyle name="40% - Accent3 3" xfId="27"/>
    <cellStyle name="40% - Accent4" xfId="28" builtinId="43" customBuiltin="1"/>
    <cellStyle name="40% - Accent4 2" xfId="29"/>
    <cellStyle name="40% - Accent4 3" xfId="30"/>
    <cellStyle name="40% - Accent5" xfId="31" builtinId="47" customBuiltin="1"/>
    <cellStyle name="40% - Accent5 2" xfId="32"/>
    <cellStyle name="40% - Accent5 3" xfId="33"/>
    <cellStyle name="40% - Accent6" xfId="34" builtinId="51" customBuiltin="1"/>
    <cellStyle name="40% - Accent6 2" xfId="35"/>
    <cellStyle name="40% - Accent6 3" xfId="36"/>
    <cellStyle name="60% - Accent1" xfId="37" builtinId="32" customBuiltin="1"/>
    <cellStyle name="60% - Accent1 2" xfId="38"/>
    <cellStyle name="60% - Accent1 3" xfId="39"/>
    <cellStyle name="60% - Accent2" xfId="40" builtinId="36" customBuiltin="1"/>
    <cellStyle name="60% - Accent2 2" xfId="41"/>
    <cellStyle name="60% - Accent2 3" xfId="42"/>
    <cellStyle name="60% - Accent3" xfId="43" builtinId="40" customBuiltin="1"/>
    <cellStyle name="60% - Accent3 2" xfId="44"/>
    <cellStyle name="60% - Accent3 3" xfId="45"/>
    <cellStyle name="60% - Accent4" xfId="46" builtinId="44" customBuiltin="1"/>
    <cellStyle name="60% - Accent4 2" xfId="47"/>
    <cellStyle name="60% - Accent4 3" xfId="48"/>
    <cellStyle name="60% - Accent5" xfId="49" builtinId="48" customBuiltin="1"/>
    <cellStyle name="60% - Accent5 2" xfId="50"/>
    <cellStyle name="60% - Accent5 3" xfId="51"/>
    <cellStyle name="60% - Accent6" xfId="52" builtinId="52" customBuiltin="1"/>
    <cellStyle name="60% - Accent6 2" xfId="53"/>
    <cellStyle name="60% - Accent6 3" xfId="54"/>
    <cellStyle name="Accent1" xfId="55" builtinId="29" customBuiltin="1"/>
    <cellStyle name="Accent1 2" xfId="56"/>
    <cellStyle name="Accent1 3" xfId="57"/>
    <cellStyle name="Accent2" xfId="58" builtinId="33" customBuiltin="1"/>
    <cellStyle name="Accent2 2" xfId="59"/>
    <cellStyle name="Accent2 3" xfId="60"/>
    <cellStyle name="Accent3" xfId="61" builtinId="37" customBuiltin="1"/>
    <cellStyle name="Accent3 2" xfId="62"/>
    <cellStyle name="Accent3 3" xfId="63"/>
    <cellStyle name="Accent4" xfId="64" builtinId="41" customBuiltin="1"/>
    <cellStyle name="Accent4 2" xfId="65"/>
    <cellStyle name="Accent4 3" xfId="66"/>
    <cellStyle name="Accent5" xfId="67" builtinId="45" customBuiltin="1"/>
    <cellStyle name="Accent5 2" xfId="68"/>
    <cellStyle name="Accent5 3" xfId="69"/>
    <cellStyle name="Accent6" xfId="70" builtinId="49" customBuiltin="1"/>
    <cellStyle name="Accent6 2" xfId="71"/>
    <cellStyle name="Accent6 3" xfId="72"/>
    <cellStyle name="Bad" xfId="73" builtinId="27" customBuiltin="1"/>
    <cellStyle name="Bad 2" xfId="74"/>
    <cellStyle name="Bad 3" xfId="75"/>
    <cellStyle name="Calculation" xfId="76" builtinId="22" customBuiltin="1"/>
    <cellStyle name="Calculation 2" xfId="77"/>
    <cellStyle name="Calculation 3" xfId="78"/>
    <cellStyle name="Check Cell" xfId="79" builtinId="23" customBuiltin="1"/>
    <cellStyle name="Check Cell 2" xfId="80"/>
    <cellStyle name="Check Cell 3" xfId="81"/>
    <cellStyle name="Comma 2" xfId="82"/>
    <cellStyle name="Comma 2 2" xfId="83"/>
    <cellStyle name="Comma 2 2 2" xfId="84"/>
    <cellStyle name="Comma 2 3" xfId="85"/>
    <cellStyle name="Comma 3" xfId="86"/>
    <cellStyle name="Comma 3 2" xfId="87"/>
    <cellStyle name="Comma 3 2 2" xfId="88"/>
    <cellStyle name="Comma 3 3" xfId="89"/>
    <cellStyle name="Comma 4" xfId="90"/>
    <cellStyle name="Comma 4 2" xfId="91"/>
    <cellStyle name="Comma 4 2 2" xfId="92"/>
    <cellStyle name="Comma 4 3" xfId="93"/>
    <cellStyle name="Comma 5" xfId="94"/>
    <cellStyle name="Comma 5 2" xfId="95"/>
    <cellStyle name="Comma 5 2 2" xfId="96"/>
    <cellStyle name="Comma 5 3" xfId="97"/>
    <cellStyle name="Comma 6" xfId="98"/>
    <cellStyle name="Comma 6 2" xfId="99"/>
    <cellStyle name="Explanatory Text" xfId="100" builtinId="53" customBuiltin="1"/>
    <cellStyle name="Explanatory Text 2" xfId="101"/>
    <cellStyle name="Explanatory Text 3" xfId="102"/>
    <cellStyle name="Good" xfId="103" builtinId="26" customBuiltin="1"/>
    <cellStyle name="Good 2" xfId="104"/>
    <cellStyle name="Good 3" xfId="105"/>
    <cellStyle name="Heading 1" xfId="106" builtinId="16" customBuiltin="1"/>
    <cellStyle name="Heading 1 2" xfId="107"/>
    <cellStyle name="Heading 1 3" xfId="108"/>
    <cellStyle name="Heading 2" xfId="109" builtinId="17" customBuiltin="1"/>
    <cellStyle name="Heading 2 2" xfId="110"/>
    <cellStyle name="Heading 2 3" xfId="111"/>
    <cellStyle name="Heading 3" xfId="112" builtinId="18" customBuiltin="1"/>
    <cellStyle name="Heading 3 2" xfId="113"/>
    <cellStyle name="Heading 3 3" xfId="114"/>
    <cellStyle name="Heading 4" xfId="115" builtinId="19" customBuiltin="1"/>
    <cellStyle name="Heading 4 2" xfId="116"/>
    <cellStyle name="Heading 4 3" xfId="117"/>
    <cellStyle name="Input" xfId="118" builtinId="20" customBuiltin="1"/>
    <cellStyle name="Input 2" xfId="119"/>
    <cellStyle name="Input 3" xfId="120"/>
    <cellStyle name="Linked Cell" xfId="121" builtinId="24" customBuiltin="1"/>
    <cellStyle name="Linked Cell 2" xfId="122"/>
    <cellStyle name="Linked Cell 3" xfId="123"/>
    <cellStyle name="Neutral" xfId="124" builtinId="28" customBuiltin="1"/>
    <cellStyle name="Neutral 2" xfId="125"/>
    <cellStyle name="Neutral 3" xfId="126"/>
    <cellStyle name="Normal" xfId="0" builtinId="0"/>
    <cellStyle name="Normal 10" xfId="127"/>
    <cellStyle name="Normal 10 2" xfId="128"/>
    <cellStyle name="Normal 10 3" xfId="129"/>
    <cellStyle name="Normal 11" xfId="130"/>
    <cellStyle name="Normal 11 2" xfId="131"/>
    <cellStyle name="Normal 11 3" xfId="132"/>
    <cellStyle name="Normal 12" xfId="133"/>
    <cellStyle name="Normal 12 2" xfId="134"/>
    <cellStyle name="Normal 12 3" xfId="135"/>
    <cellStyle name="Normal 13" xfId="136"/>
    <cellStyle name="Normal 13 2" xfId="137"/>
    <cellStyle name="Normal 13 3" xfId="138"/>
    <cellStyle name="Normal 14" xfId="139"/>
    <cellStyle name="Normal 14 2" xfId="140"/>
    <cellStyle name="Normal 14 3" xfId="141"/>
    <cellStyle name="Normal 15" xfId="142"/>
    <cellStyle name="Normal 15 2" xfId="143"/>
    <cellStyle name="Normal 15 3" xfId="144"/>
    <cellStyle name="Normal 16" xfId="145"/>
    <cellStyle name="Normal 16 2" xfId="146"/>
    <cellStyle name="Normal 16 3" xfId="147"/>
    <cellStyle name="Normal 17" xfId="148"/>
    <cellStyle name="Normal 17 2" xfId="149"/>
    <cellStyle name="Normal 17 3" xfId="150"/>
    <cellStyle name="Normal 18" xfId="151"/>
    <cellStyle name="Normal 18 2" xfId="152"/>
    <cellStyle name="Normal 18 3" xfId="153"/>
    <cellStyle name="Normal 19" xfId="154"/>
    <cellStyle name="Normal 19 2" xfId="155"/>
    <cellStyle name="Normal 19 3" xfId="156"/>
    <cellStyle name="Normal 2" xfId="157"/>
    <cellStyle name="Normal 2 2" xfId="158"/>
    <cellStyle name="Normal 2 2 2" xfId="159"/>
    <cellStyle name="Normal 2 2 3" xfId="160"/>
    <cellStyle name="Normal 2 3" xfId="161"/>
    <cellStyle name="Normal 2 3 2" xfId="162"/>
    <cellStyle name="Normal 2 3 3" xfId="163"/>
    <cellStyle name="Normal 2 4" xfId="164"/>
    <cellStyle name="Normal 2 4 2" xfId="165"/>
    <cellStyle name="Normal 2 4 3" xfId="166"/>
    <cellStyle name="Normal 2 5" xfId="167"/>
    <cellStyle name="Normal 2 5 2" xfId="168"/>
    <cellStyle name="Normal 2 5 3" xfId="169"/>
    <cellStyle name="Normal 2 6" xfId="170"/>
    <cellStyle name="Normal 20" xfId="171"/>
    <cellStyle name="Normal 20 2" xfId="172"/>
    <cellStyle name="Normal 20 3" xfId="173"/>
    <cellStyle name="Normal 21" xfId="174"/>
    <cellStyle name="Normal 21 2" xfId="175"/>
    <cellStyle name="Normal 21 3" xfId="176"/>
    <cellStyle name="Normal 22" xfId="177"/>
    <cellStyle name="Normal 22 2" xfId="178"/>
    <cellStyle name="Normal 22 3" xfId="179"/>
    <cellStyle name="Normal 23" xfId="180"/>
    <cellStyle name="Normal 23 2" xfId="181"/>
    <cellStyle name="Normal 23 3" xfId="182"/>
    <cellStyle name="Normal 24" xfId="183"/>
    <cellStyle name="Normal 24 2" xfId="184"/>
    <cellStyle name="Normal 24 3" xfId="185"/>
    <cellStyle name="Normal 25" xfId="186"/>
    <cellStyle name="Normal 25 2" xfId="187"/>
    <cellStyle name="Normal 25 3" xfId="188"/>
    <cellStyle name="Normal 26" xfId="189"/>
    <cellStyle name="Normal 26 2" xfId="190"/>
    <cellStyle name="Normal 26 3" xfId="191"/>
    <cellStyle name="Normal 27" xfId="192"/>
    <cellStyle name="Normal 27 2" xfId="193"/>
    <cellStyle name="Normal 27 3" xfId="194"/>
    <cellStyle name="Normal 28" xfId="195"/>
    <cellStyle name="Normal 28 2" xfId="196"/>
    <cellStyle name="Normal 28 3" xfId="197"/>
    <cellStyle name="Normal 29" xfId="198"/>
    <cellStyle name="Normal 29 2" xfId="199"/>
    <cellStyle name="Normal 3" xfId="200"/>
    <cellStyle name="Normal 3 2" xfId="201"/>
    <cellStyle name="Normal 3 3" xfId="202"/>
    <cellStyle name="Normal 30" xfId="203"/>
    <cellStyle name="Normal 30 2" xfId="204"/>
    <cellStyle name="Normal 30 3" xfId="205"/>
    <cellStyle name="Normal 31" xfId="206"/>
    <cellStyle name="Normal 31 2" xfId="207"/>
    <cellStyle name="Normal 31 3" xfId="208"/>
    <cellStyle name="Normal 32" xfId="209"/>
    <cellStyle name="Normal 32 2" xfId="210"/>
    <cellStyle name="Normal 32 3" xfId="211"/>
    <cellStyle name="Normal 33" xfId="212"/>
    <cellStyle name="Normal 33 2" xfId="213"/>
    <cellStyle name="Normal 33 3" xfId="214"/>
    <cellStyle name="Normal 34" xfId="215"/>
    <cellStyle name="Normal 34 2" xfId="216"/>
    <cellStyle name="Normal 34 3" xfId="217"/>
    <cellStyle name="Normal 35" xfId="218"/>
    <cellStyle name="Normal 35 2" xfId="219"/>
    <cellStyle name="Normal 35 3" xfId="220"/>
    <cellStyle name="Normal 36" xfId="221"/>
    <cellStyle name="Normal 36 2" xfId="222"/>
    <cellStyle name="Normal 36 3" xfId="223"/>
    <cellStyle name="Normal 37" xfId="224"/>
    <cellStyle name="Normal 37 2" xfId="225"/>
    <cellStyle name="Normal 37 3" xfId="226"/>
    <cellStyle name="Normal 38" xfId="227"/>
    <cellStyle name="Normal 38 2" xfId="228"/>
    <cellStyle name="Normal 38 3" xfId="229"/>
    <cellStyle name="Normal 39" xfId="230"/>
    <cellStyle name="Normal 39 2" xfId="231"/>
    <cellStyle name="Normal 39 3" xfId="232"/>
    <cellStyle name="Normal 4" xfId="233"/>
    <cellStyle name="Normal 4 2" xfId="234"/>
    <cellStyle name="Normal 4 3" xfId="235"/>
    <cellStyle name="Normal 40" xfId="236"/>
    <cellStyle name="Normal 40 2" xfId="237"/>
    <cellStyle name="Normal 40 3" xfId="238"/>
    <cellStyle name="Normal 41" xfId="239"/>
    <cellStyle name="Normal 41 2" xfId="240"/>
    <cellStyle name="Normal 42" xfId="241"/>
    <cellStyle name="Normal 42 2" xfId="242"/>
    <cellStyle name="Normal 43" xfId="243"/>
    <cellStyle name="Normal 43 2" xfId="244"/>
    <cellStyle name="Normal 44" xfId="245"/>
    <cellStyle name="Normal 44 2" xfId="246"/>
    <cellStyle name="Normal 45" xfId="247"/>
    <cellStyle name="Normal 45 2" xfId="248"/>
    <cellStyle name="Normal 46" xfId="249"/>
    <cellStyle name="Normal 46 2" xfId="250"/>
    <cellStyle name="Normal 47" xfId="251"/>
    <cellStyle name="Normal 47 2" xfId="252"/>
    <cellStyle name="Normal 48" xfId="253"/>
    <cellStyle name="Normal 48 2" xfId="254"/>
    <cellStyle name="Normal 49" xfId="255"/>
    <cellStyle name="Normal 49 2" xfId="256"/>
    <cellStyle name="Normal 5" xfId="257"/>
    <cellStyle name="Normal 5 2" xfId="258"/>
    <cellStyle name="Normal 5 3" xfId="259"/>
    <cellStyle name="Normal 50" xfId="260"/>
    <cellStyle name="Normal 50 2" xfId="261"/>
    <cellStyle name="Normal 51" xfId="262"/>
    <cellStyle name="Normal 51 2" xfId="263"/>
    <cellStyle name="Normal 52" xfId="264"/>
    <cellStyle name="Normal 52 2" xfId="265"/>
    <cellStyle name="Normal 53" xfId="266"/>
    <cellStyle name="Normal 53 2" xfId="267"/>
    <cellStyle name="Normal 53 3" xfId="268"/>
    <cellStyle name="Normal 54" xfId="269"/>
    <cellStyle name="Normal 54 2" xfId="270"/>
    <cellStyle name="Normal 55" xfId="271"/>
    <cellStyle name="Normal 55 2" xfId="272"/>
    <cellStyle name="Normal 55 3" xfId="273"/>
    <cellStyle name="Normal 56" xfId="274"/>
    <cellStyle name="Normal 6" xfId="275"/>
    <cellStyle name="Normal 6 2" xfId="276"/>
    <cellStyle name="Normal 6 3" xfId="277"/>
    <cellStyle name="Normal 7" xfId="278"/>
    <cellStyle name="Normal 7 2" xfId="279"/>
    <cellStyle name="Normal 8" xfId="280"/>
    <cellStyle name="Normal 8 2" xfId="281"/>
    <cellStyle name="Normal 8 3" xfId="282"/>
    <cellStyle name="Normal 9" xfId="283"/>
    <cellStyle name="Normal 9 2" xfId="284"/>
    <cellStyle name="Normal 9 3" xfId="285"/>
    <cellStyle name="Note" xfId="286" builtinId="10" customBuiltin="1"/>
    <cellStyle name="Note 2" xfId="287"/>
    <cellStyle name="Note 2 2" xfId="288"/>
    <cellStyle name="Note 3" xfId="289"/>
    <cellStyle name="Note 4" xfId="290"/>
    <cellStyle name="Output" xfId="291" builtinId="21" customBuiltin="1"/>
    <cellStyle name="Output 2" xfId="292"/>
    <cellStyle name="Output 3" xfId="293"/>
    <cellStyle name="Percent" xfId="294" builtinId="5"/>
    <cellStyle name="Percent 2" xfId="295"/>
    <cellStyle name="Percent 2 2" xfId="296"/>
    <cellStyle name="Percent 3" xfId="297"/>
    <cellStyle name="Percent 3 2" xfId="298"/>
    <cellStyle name="Percent 4" xfId="299"/>
    <cellStyle name="Percent 4 2" xfId="300"/>
    <cellStyle name="Percent 5" xfId="301"/>
    <cellStyle name="Percent 5 2" xfId="302"/>
    <cellStyle name="Title" xfId="303" builtinId="15" customBuiltin="1"/>
    <cellStyle name="Title 2" xfId="304"/>
    <cellStyle name="Title 3" xfId="305"/>
    <cellStyle name="Total" xfId="306" builtinId="25" customBuiltin="1"/>
    <cellStyle name="Total 2" xfId="307"/>
    <cellStyle name="Total 3" xfId="308"/>
    <cellStyle name="Warning Text" xfId="309" builtinId="11" customBuiltin="1"/>
    <cellStyle name="Warning Text 2" xfId="310"/>
    <cellStyle name="Warning Text 3" xfId="31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9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chartsheet" Target="chartsheets/sheet1.xml"/><Relationship Id="rId7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calcChain" Target="calcChain.xml"/><Relationship Id="rId5" Type="http://schemas.openxmlformats.org/officeDocument/2006/relationships/chartsheet" Target="chartsheets/sheet3.xml"/><Relationship Id="rId10" Type="http://schemas.openxmlformats.org/officeDocument/2006/relationships/sharedStrings" Target="sharedStrings.xml"/><Relationship Id="rId4" Type="http://schemas.openxmlformats.org/officeDocument/2006/relationships/chartsheet" Target="chartsheets/sheet2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outputcow4!#REF!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14F-40F0-A842-4B3EE0CFED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8901632"/>
        <c:axId val="168903424"/>
      </c:lineChart>
      <c:catAx>
        <c:axId val="168901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8903424"/>
        <c:crosses val="autoZero"/>
        <c:auto val="1"/>
        <c:lblAlgn val="ctr"/>
        <c:lblOffset val="100"/>
        <c:noMultiLvlLbl val="0"/>
      </c:catAx>
      <c:valAx>
        <c:axId val="16890342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689016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16885389326336"/>
          <c:y val="0.19480351414406535"/>
          <c:w val="0.77537270341207365"/>
          <c:h val="0.65183253135024788"/>
        </c:manualLayout>
      </c:layout>
      <c:lineChart>
        <c:grouping val="standar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913536"/>
        <c:axId val="168927616"/>
      </c:lineChart>
      <c:catAx>
        <c:axId val="16891353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8927616"/>
        <c:crosses val="autoZero"/>
        <c:auto val="1"/>
        <c:lblAlgn val="ctr"/>
        <c:lblOffset val="100"/>
        <c:noMultiLvlLbl val="0"/>
      </c:catAx>
      <c:valAx>
        <c:axId val="168927616"/>
        <c:scaling>
          <c:orientation val="minMax"/>
        </c:scaling>
        <c:delete val="0"/>
        <c:axPos val="l"/>
        <c:majorGridlines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891353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5473565804274467"/>
          <c:y val="0.52983127109111361"/>
          <c:w val="0.48411698537682796"/>
          <c:h val="8.3734533183352167E-2"/>
        </c:manualLayout>
      </c:layout>
      <c:overlay val="0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/>
            </a:pPr>
            <a:r>
              <a:rPr lang="en-US"/>
              <a:t>Annual Market Numbers per 100 Beef Cows</a:t>
            </a:r>
          </a:p>
          <a:p>
            <a:pPr>
              <a:defRPr/>
            </a:pPr>
            <a:r>
              <a:rPr lang="en-US"/>
              <a:t>1998 to 2016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3205130158097098E-2"/>
          <c:y val="9.2332451439547866E-2"/>
          <c:w val="0.91067311167704601"/>
          <c:h val="0.82140419001539411"/>
        </c:manualLayout>
      </c:layout>
      <c:lineChart>
        <c:grouping val="standard"/>
        <c:varyColors val="0"/>
        <c:ser>
          <c:idx val="0"/>
          <c:order val="0"/>
          <c:tx>
            <c:strRef>
              <c:f>Productivity!$A$96:$C$96</c:f>
              <c:strCache>
                <c:ptCount val="3"/>
                <c:pt idx="0">
                  <c:v>Steer No. / 100 Cows (lagged)</c:v>
                </c:pt>
              </c:strCache>
            </c:strRef>
          </c:tx>
          <c:marker>
            <c:symbol val="none"/>
          </c:marker>
          <c:trendline>
            <c:trendlineType val="linear"/>
            <c:dispRSqr val="0"/>
            <c:dispEq val="0"/>
          </c:trendline>
          <c:cat>
            <c:numRef>
              <c:f>Productivity!$D$95:$V$95</c:f>
              <c:numCache>
                <c:formatCode>General</c:formatCode>
                <c:ptCount val="19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</c:numCache>
            </c:numRef>
          </c:cat>
          <c:val>
            <c:numRef>
              <c:f>Productivity!$D$96:$V$96</c:f>
              <c:numCache>
                <c:formatCode>0.0</c:formatCode>
                <c:ptCount val="19"/>
                <c:pt idx="0">
                  <c:v>34.57447738510924</c:v>
                </c:pt>
                <c:pt idx="1">
                  <c:v>35.362918847557509</c:v>
                </c:pt>
                <c:pt idx="2">
                  <c:v>37.635735523452809</c:v>
                </c:pt>
                <c:pt idx="3">
                  <c:v>38.379161151055371</c:v>
                </c:pt>
                <c:pt idx="4">
                  <c:v>40.399465195952175</c:v>
                </c:pt>
                <c:pt idx="5">
                  <c:v>31.616389733958272</c:v>
                </c:pt>
                <c:pt idx="6">
                  <c:v>34.0145918548398</c:v>
                </c:pt>
                <c:pt idx="7">
                  <c:v>36.771114277754279</c:v>
                </c:pt>
                <c:pt idx="8">
                  <c:v>34.038906017825497</c:v>
                </c:pt>
                <c:pt idx="9">
                  <c:v>37.126685993238588</c:v>
                </c:pt>
                <c:pt idx="10">
                  <c:v>36.62026558538463</c:v>
                </c:pt>
                <c:pt idx="11">
                  <c:v>34.405627749627413</c:v>
                </c:pt>
                <c:pt idx="12">
                  <c:v>38.144019643236248</c:v>
                </c:pt>
                <c:pt idx="13">
                  <c:v>35.531385940216197</c:v>
                </c:pt>
                <c:pt idx="14">
                  <c:v>35.684608409274603</c:v>
                </c:pt>
                <c:pt idx="15">
                  <c:v>36.569401423668531</c:v>
                </c:pt>
                <c:pt idx="16">
                  <c:v>38.430744112503014</c:v>
                </c:pt>
                <c:pt idx="17">
                  <c:v>36.125158600102125</c:v>
                </c:pt>
                <c:pt idx="18">
                  <c:v>36.881420536994938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EAF-468A-AFC2-B9A39EAD8671}"/>
            </c:ext>
          </c:extLst>
        </c:ser>
        <c:ser>
          <c:idx val="1"/>
          <c:order val="1"/>
          <c:tx>
            <c:strRef>
              <c:f>Productivity!$A$97:$C$97</c:f>
              <c:strCache>
                <c:ptCount val="3"/>
                <c:pt idx="0">
                  <c:v>Beef Steers/100 Beef Cows (lagged)</c:v>
                </c:pt>
              </c:strCache>
            </c:strRef>
          </c:tx>
          <c:marker>
            <c:symbol val="none"/>
          </c:marker>
          <c:trendline>
            <c:trendlineType val="linear"/>
            <c:dispRSqr val="0"/>
            <c:dispEq val="0"/>
          </c:trendline>
          <c:cat>
            <c:numRef>
              <c:f>Productivity!$D$95:$V$95</c:f>
              <c:numCache>
                <c:formatCode>General</c:formatCode>
                <c:ptCount val="19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</c:numCache>
            </c:numRef>
          </c:cat>
          <c:val>
            <c:numRef>
              <c:f>Productivity!$D$97:$V$97</c:f>
              <c:numCache>
                <c:formatCode>0.00</c:formatCode>
                <c:ptCount val="19"/>
                <c:pt idx="0">
                  <c:v>39.175521666063389</c:v>
                </c:pt>
                <c:pt idx="1">
                  <c:v>40.119509754888483</c:v>
                </c:pt>
                <c:pt idx="2">
                  <c:v>42.679280172481043</c:v>
                </c:pt>
                <c:pt idx="3">
                  <c:v>43.007118583931806</c:v>
                </c:pt>
                <c:pt idx="4">
                  <c:v>44.661710750394185</c:v>
                </c:pt>
                <c:pt idx="5">
                  <c:v>34.725476150486031</c:v>
                </c:pt>
                <c:pt idx="6">
                  <c:v>37.326392342660995</c:v>
                </c:pt>
                <c:pt idx="7">
                  <c:v>39.94063186858471</c:v>
                </c:pt>
                <c:pt idx="8">
                  <c:v>36.719258687036657</c:v>
                </c:pt>
                <c:pt idx="9">
                  <c:v>39.928374218475</c:v>
                </c:pt>
                <c:pt idx="10">
                  <c:v>39.362957176015748</c:v>
                </c:pt>
                <c:pt idx="11">
                  <c:v>37.222406344442895</c:v>
                </c:pt>
                <c:pt idx="12">
                  <c:v>41.722969599401885</c:v>
                </c:pt>
                <c:pt idx="13">
                  <c:v>39.347470113603997</c:v>
                </c:pt>
                <c:pt idx="14">
                  <c:v>39.842085500565126</c:v>
                </c:pt>
                <c:pt idx="15">
                  <c:v>40.860058473645971</c:v>
                </c:pt>
                <c:pt idx="16">
                  <c:v>42.90439933351292</c:v>
                </c:pt>
                <c:pt idx="17">
                  <c:v>40.552739082852419</c:v>
                </c:pt>
                <c:pt idx="18">
                  <c:v>42.241037241373938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EAF-468A-AFC2-B9A39EAD8671}"/>
            </c:ext>
          </c:extLst>
        </c:ser>
        <c:ser>
          <c:idx val="2"/>
          <c:order val="2"/>
          <c:tx>
            <c:strRef>
              <c:f>Productivity!$A$98:$C$98</c:f>
              <c:strCache>
                <c:ptCount val="3"/>
                <c:pt idx="0">
                  <c:v>Beef Heifer No. / 100 Beef Cows (lagged)</c:v>
                </c:pt>
              </c:strCache>
            </c:strRef>
          </c:tx>
          <c:marker>
            <c:symbol val="none"/>
          </c:marker>
          <c:trendline>
            <c:trendlineType val="linear"/>
            <c:dispRSqr val="0"/>
            <c:dispEq val="0"/>
          </c:trendline>
          <c:cat>
            <c:numRef>
              <c:f>Productivity!$D$95:$V$95</c:f>
              <c:numCache>
                <c:formatCode>General</c:formatCode>
                <c:ptCount val="19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</c:numCache>
            </c:numRef>
          </c:cat>
          <c:val>
            <c:numRef>
              <c:f>Productivity!$D$98:$V$98</c:f>
              <c:numCache>
                <c:formatCode>0.0</c:formatCode>
                <c:ptCount val="19"/>
                <c:pt idx="0">
                  <c:v>29.154292540065217</c:v>
                </c:pt>
                <c:pt idx="1">
                  <c:v>31.442974058657505</c:v>
                </c:pt>
                <c:pt idx="2">
                  <c:v>30.008765514363837</c:v>
                </c:pt>
                <c:pt idx="3">
                  <c:v>31.949747730975776</c:v>
                </c:pt>
                <c:pt idx="4">
                  <c:v>33.80824323663699</c:v>
                </c:pt>
                <c:pt idx="5">
                  <c:v>24.426169327673048</c:v>
                </c:pt>
                <c:pt idx="6">
                  <c:v>28.908606141719009</c:v>
                </c:pt>
                <c:pt idx="7">
                  <c:v>29.486841342164343</c:v>
                </c:pt>
                <c:pt idx="8">
                  <c:v>29.339683457683527</c:v>
                </c:pt>
                <c:pt idx="9">
                  <c:v>32.094770949381129</c:v>
                </c:pt>
                <c:pt idx="10">
                  <c:v>33.903485253093358</c:v>
                </c:pt>
                <c:pt idx="11">
                  <c:v>30.737312472316653</c:v>
                </c:pt>
                <c:pt idx="12">
                  <c:v>33.636735720941331</c:v>
                </c:pt>
                <c:pt idx="13">
                  <c:v>28.806587114380335</c:v>
                </c:pt>
                <c:pt idx="14">
                  <c:v>28.969939748959256</c:v>
                </c:pt>
                <c:pt idx="15">
                  <c:v>29.691836791222975</c:v>
                </c:pt>
                <c:pt idx="16">
                  <c:v>35.179004805312005</c:v>
                </c:pt>
                <c:pt idx="17">
                  <c:v>27.346065966025822</c:v>
                </c:pt>
                <c:pt idx="18">
                  <c:v>28.451696176304029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EAF-468A-AFC2-B9A39EAD8671}"/>
            </c:ext>
          </c:extLst>
        </c:ser>
        <c:ser>
          <c:idx val="3"/>
          <c:order val="3"/>
          <c:tx>
            <c:strRef>
              <c:f>Productivity!$A$99:$C$99</c:f>
              <c:strCache>
                <c:ptCount val="3"/>
                <c:pt idx="0">
                  <c:v>Beef Cows/ 100 Beef Cows</c:v>
                </c:pt>
              </c:strCache>
            </c:strRef>
          </c:tx>
          <c:marker>
            <c:symbol val="none"/>
          </c:marker>
          <c:trendline>
            <c:trendlineType val="linear"/>
            <c:dispRSqr val="0"/>
            <c:dispEq val="0"/>
          </c:trendline>
          <c:cat>
            <c:numRef>
              <c:f>Productivity!$D$95:$V$95</c:f>
              <c:numCache>
                <c:formatCode>General</c:formatCode>
                <c:ptCount val="19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</c:numCache>
            </c:numRef>
          </c:cat>
          <c:val>
            <c:numRef>
              <c:f>Productivity!$D$99:$V$99</c:f>
              <c:numCache>
                <c:formatCode>0.0</c:formatCode>
                <c:ptCount val="19"/>
                <c:pt idx="0">
                  <c:v>2.9575499430355281</c:v>
                </c:pt>
                <c:pt idx="1">
                  <c:v>2.7051557999822373</c:v>
                </c:pt>
                <c:pt idx="2">
                  <c:v>6.2572721017486277</c:v>
                </c:pt>
                <c:pt idx="3">
                  <c:v>8.6358187516246687</c:v>
                </c:pt>
                <c:pt idx="4">
                  <c:v>11.572514869746934</c:v>
                </c:pt>
                <c:pt idx="5">
                  <c:v>2.877416608654813</c:v>
                </c:pt>
                <c:pt idx="6">
                  <c:v>1.7054040243929873</c:v>
                </c:pt>
                <c:pt idx="7">
                  <c:v>4.5148919751136898</c:v>
                </c:pt>
                <c:pt idx="8">
                  <c:v>7.8122436252654781</c:v>
                </c:pt>
                <c:pt idx="9">
                  <c:v>8.5904162400929032</c:v>
                </c:pt>
                <c:pt idx="10">
                  <c:v>14.255138486244729</c:v>
                </c:pt>
                <c:pt idx="11">
                  <c:v>12.013156991351215</c:v>
                </c:pt>
                <c:pt idx="12">
                  <c:v>10.349342648227312</c:v>
                </c:pt>
                <c:pt idx="13">
                  <c:v>7.401585864761782</c:v>
                </c:pt>
                <c:pt idx="14">
                  <c:v>6.3391783940533211</c:v>
                </c:pt>
                <c:pt idx="15">
                  <c:v>9.2482782811922171</c:v>
                </c:pt>
                <c:pt idx="16">
                  <c:v>8.8524329011625458</c:v>
                </c:pt>
                <c:pt idx="17">
                  <c:v>7.0535641912273706</c:v>
                </c:pt>
                <c:pt idx="18">
                  <c:v>7.6798050090980707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EAF-468A-AFC2-B9A39EAD86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6261888"/>
        <c:axId val="166263424"/>
      </c:lineChart>
      <c:catAx>
        <c:axId val="166261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400" b="1"/>
            </a:pPr>
            <a:endParaRPr lang="en-US"/>
          </a:p>
        </c:txPr>
        <c:crossAx val="166263424"/>
        <c:crosses val="autoZero"/>
        <c:auto val="1"/>
        <c:lblAlgn val="ctr"/>
        <c:lblOffset val="100"/>
        <c:noMultiLvlLbl val="0"/>
      </c:catAx>
      <c:valAx>
        <c:axId val="166263424"/>
        <c:scaling>
          <c:orientation val="minMax"/>
        </c:scaling>
        <c:delete val="0"/>
        <c:axPos val="l"/>
        <c:majorGridlines/>
        <c:numFmt formatCode="0.0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600" b="1"/>
            </a:pPr>
            <a:endParaRPr lang="en-US"/>
          </a:p>
        </c:txPr>
        <c:crossAx val="16626188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6.3561964560290299E-2"/>
          <c:y val="0.538407520760532"/>
          <c:w val="0.88606660028702955"/>
          <c:h val="0.13659249910790713"/>
        </c:manualLayout>
      </c:layout>
      <c:overlay val="0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/>
            </a:pPr>
            <a:r>
              <a:rPr lang="en-CA"/>
              <a:t>Pounds</a:t>
            </a:r>
            <a:r>
              <a:rPr lang="en-CA" baseline="0"/>
              <a:t> of Beef per Beef Cow per Year</a:t>
            </a:r>
          </a:p>
          <a:p>
            <a:pPr>
              <a:defRPr/>
            </a:pPr>
            <a:r>
              <a:rPr lang="en-CA" baseline="0"/>
              <a:t>1998 to 2016 </a:t>
            </a:r>
            <a:endParaRPr lang="en-CA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Productivity!$A$106:$C$106</c:f>
              <c:strCache>
                <c:ptCount val="3"/>
                <c:pt idx="0">
                  <c:v>Steer Lbs. / Beef Cow (lagged)</c:v>
                </c:pt>
              </c:strCache>
            </c:strRef>
          </c:tx>
          <c:trendline>
            <c:trendlineType val="linear"/>
            <c:dispRSqr val="0"/>
            <c:dispEq val="0"/>
          </c:trendline>
          <c:cat>
            <c:numRef>
              <c:f>Productivity!$D$105:$V$105</c:f>
              <c:numCache>
                <c:formatCode>0</c:formatCode>
                <c:ptCount val="19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</c:numCache>
            </c:numRef>
          </c:cat>
          <c:val>
            <c:numRef>
              <c:f>Productivity!$D$106:$V$106</c:f>
              <c:numCache>
                <c:formatCode>0.0</c:formatCode>
                <c:ptCount val="19"/>
                <c:pt idx="0">
                  <c:v>309.87837637856137</c:v>
                </c:pt>
                <c:pt idx="1">
                  <c:v>319.35129764891229</c:v>
                </c:pt>
                <c:pt idx="2">
                  <c:v>346.98254780227086</c:v>
                </c:pt>
                <c:pt idx="3">
                  <c:v>353.08844357408015</c:v>
                </c:pt>
                <c:pt idx="4">
                  <c:v>371.58543344327961</c:v>
                </c:pt>
                <c:pt idx="5">
                  <c:v>289.9577258565584</c:v>
                </c:pt>
                <c:pt idx="6">
                  <c:v>311.30211213779273</c:v>
                </c:pt>
                <c:pt idx="7">
                  <c:v>330.30902555319557</c:v>
                </c:pt>
                <c:pt idx="8">
                  <c:v>308.8089655579783</c:v>
                </c:pt>
                <c:pt idx="9">
                  <c:v>335.37941738581043</c:v>
                </c:pt>
                <c:pt idx="10">
                  <c:v>331.43609942205262</c:v>
                </c:pt>
                <c:pt idx="11">
                  <c:v>314.90155767398693</c:v>
                </c:pt>
                <c:pt idx="12">
                  <c:v>354.22801189892198</c:v>
                </c:pt>
                <c:pt idx="13">
                  <c:v>336.81434417245021</c:v>
                </c:pt>
                <c:pt idx="14">
                  <c:v>349.81351069496179</c:v>
                </c:pt>
                <c:pt idx="15">
                  <c:v>357.11691105966577</c:v>
                </c:pt>
                <c:pt idx="16">
                  <c:v>369.27816506354571</c:v>
                </c:pt>
                <c:pt idx="17">
                  <c:v>362.50904520943442</c:v>
                </c:pt>
                <c:pt idx="18">
                  <c:v>388.19513224822657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BB6-46BC-AFB8-71D62F3382FD}"/>
            </c:ext>
          </c:extLst>
        </c:ser>
        <c:ser>
          <c:idx val="1"/>
          <c:order val="1"/>
          <c:tx>
            <c:strRef>
              <c:f>Productivity!$A$107:$C$107</c:f>
              <c:strCache>
                <c:ptCount val="3"/>
                <c:pt idx="0">
                  <c:v>Heifer Lbs. / Beef Cow (lagged)</c:v>
                </c:pt>
              </c:strCache>
            </c:strRef>
          </c:tx>
          <c:trendline>
            <c:trendlineType val="linear"/>
            <c:dispRSqr val="0"/>
            <c:dispEq val="0"/>
          </c:trendline>
          <c:cat>
            <c:numRef>
              <c:f>Productivity!$D$105:$V$105</c:f>
              <c:numCache>
                <c:formatCode>0</c:formatCode>
                <c:ptCount val="19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</c:numCache>
            </c:numRef>
          </c:cat>
          <c:val>
            <c:numRef>
              <c:f>Productivity!$D$107:$V$107</c:f>
              <c:numCache>
                <c:formatCode>0.0</c:formatCode>
                <c:ptCount val="19"/>
                <c:pt idx="0">
                  <c:v>213.11787846787669</c:v>
                </c:pt>
                <c:pt idx="1">
                  <c:v>232.67800803406556</c:v>
                </c:pt>
                <c:pt idx="2">
                  <c:v>228.6667932194525</c:v>
                </c:pt>
                <c:pt idx="3">
                  <c:v>246.01305752851349</c:v>
                </c:pt>
                <c:pt idx="4">
                  <c:v>262.69004994866941</c:v>
                </c:pt>
                <c:pt idx="5">
                  <c:v>190.76838244912651</c:v>
                </c:pt>
                <c:pt idx="6">
                  <c:v>225.19804184399106</c:v>
                </c:pt>
                <c:pt idx="7">
                  <c:v>227.63841516150876</c:v>
                </c:pt>
                <c:pt idx="8">
                  <c:v>228.55613413535468</c:v>
                </c:pt>
                <c:pt idx="9">
                  <c:v>251.30205653365425</c:v>
                </c:pt>
                <c:pt idx="10">
                  <c:v>267.58217244851124</c:v>
                </c:pt>
                <c:pt idx="11">
                  <c:v>241.90264915713206</c:v>
                </c:pt>
                <c:pt idx="12">
                  <c:v>264.38474276659889</c:v>
                </c:pt>
                <c:pt idx="13">
                  <c:v>225.84364297674182</c:v>
                </c:pt>
                <c:pt idx="14">
                  <c:v>237.26380654397627</c:v>
                </c:pt>
                <c:pt idx="15">
                  <c:v>241.09771474473055</c:v>
                </c:pt>
                <c:pt idx="16">
                  <c:v>279.41276356667112</c:v>
                </c:pt>
                <c:pt idx="17">
                  <c:v>225.4573754634965</c:v>
                </c:pt>
                <c:pt idx="18">
                  <c:v>239.27876484271692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BB6-46BC-AFB8-71D62F3382FD}"/>
            </c:ext>
          </c:extLst>
        </c:ser>
        <c:ser>
          <c:idx val="2"/>
          <c:order val="2"/>
          <c:tx>
            <c:strRef>
              <c:f>Productivity!$A$108:$C$108</c:f>
              <c:strCache>
                <c:ptCount val="3"/>
                <c:pt idx="0">
                  <c:v>CowLbs. / Beef Cow</c:v>
                </c:pt>
              </c:strCache>
            </c:strRef>
          </c:tx>
          <c:cat>
            <c:numRef>
              <c:f>Productivity!$D$105:$V$105</c:f>
              <c:numCache>
                <c:formatCode>0</c:formatCode>
                <c:ptCount val="19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</c:numCache>
            </c:numRef>
          </c:cat>
          <c:val>
            <c:numRef>
              <c:f>Productivity!$D$108:$V$108</c:f>
              <c:numCache>
                <c:formatCode>0.0</c:formatCode>
                <c:ptCount val="19"/>
                <c:pt idx="0">
                  <c:v>18.839593137136312</c:v>
                </c:pt>
                <c:pt idx="1">
                  <c:v>17.69171893188383</c:v>
                </c:pt>
                <c:pt idx="2">
                  <c:v>42.799741175960619</c:v>
                </c:pt>
                <c:pt idx="3">
                  <c:v>59.932582136275201</c:v>
                </c:pt>
                <c:pt idx="4">
                  <c:v>81.470504683018405</c:v>
                </c:pt>
                <c:pt idx="5">
                  <c:v>20.199464592756787</c:v>
                </c:pt>
                <c:pt idx="6">
                  <c:v>11.238612520749786</c:v>
                </c:pt>
                <c:pt idx="7">
                  <c:v>29.933733795003764</c:v>
                </c:pt>
                <c:pt idx="8">
                  <c:v>52.420154725531361</c:v>
                </c:pt>
                <c:pt idx="9">
                  <c:v>57.81350129582524</c:v>
                </c:pt>
                <c:pt idx="10">
                  <c:v>96.794785184867408</c:v>
                </c:pt>
                <c:pt idx="11">
                  <c:v>80.9686781217072</c:v>
                </c:pt>
                <c:pt idx="12">
                  <c:v>69.547582596087537</c:v>
                </c:pt>
                <c:pt idx="13">
                  <c:v>49.516609435256314</c:v>
                </c:pt>
                <c:pt idx="14">
                  <c:v>42.852845943800453</c:v>
                </c:pt>
                <c:pt idx="15">
                  <c:v>61.963464483987856</c:v>
                </c:pt>
                <c:pt idx="16">
                  <c:v>60.419625037014619</c:v>
                </c:pt>
                <c:pt idx="17">
                  <c:v>51.124233258015991</c:v>
                </c:pt>
                <c:pt idx="18">
                  <c:v>57.368143417962585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BB6-46BC-AFB8-71D62F3382FD}"/>
            </c:ext>
          </c:extLst>
        </c:ser>
        <c:ser>
          <c:idx val="3"/>
          <c:order val="3"/>
          <c:tx>
            <c:strRef>
              <c:f>Productivity!$A$109:$C$109</c:f>
              <c:strCache>
                <c:ptCount val="3"/>
                <c:pt idx="0">
                  <c:v>Bull Lbs. / Cow</c:v>
                </c:pt>
              </c:strCache>
            </c:strRef>
          </c:tx>
          <c:cat>
            <c:numRef>
              <c:f>Productivity!$D$105:$V$105</c:f>
              <c:numCache>
                <c:formatCode>0</c:formatCode>
                <c:ptCount val="19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</c:numCache>
            </c:numRef>
          </c:cat>
          <c:val>
            <c:numRef>
              <c:f>Productivity!$D$109:$V$109</c:f>
              <c:numCache>
                <c:formatCode>0.0</c:formatCode>
                <c:ptCount val="19"/>
                <c:pt idx="0">
                  <c:v>9.2458685088540005</c:v>
                </c:pt>
                <c:pt idx="1">
                  <c:v>9.414516292422654</c:v>
                </c:pt>
                <c:pt idx="2">
                  <c:v>11.375575682140576</c:v>
                </c:pt>
                <c:pt idx="3">
                  <c:v>11.617624986462555</c:v>
                </c:pt>
                <c:pt idx="4">
                  <c:v>11.681429012427074</c:v>
                </c:pt>
                <c:pt idx="5">
                  <c:v>6.0023152213508197</c:v>
                </c:pt>
                <c:pt idx="6">
                  <c:v>6.5782243508262104</c:v>
                </c:pt>
                <c:pt idx="7">
                  <c:v>9.1613242835203117</c:v>
                </c:pt>
                <c:pt idx="8">
                  <c:v>8.2932075042295494</c:v>
                </c:pt>
                <c:pt idx="9">
                  <c:v>8.9392168635884719</c:v>
                </c:pt>
                <c:pt idx="10">
                  <c:v>12.380308265689438</c:v>
                </c:pt>
                <c:pt idx="11">
                  <c:v>10.130003975881881</c:v>
                </c:pt>
                <c:pt idx="12">
                  <c:v>11.956542985650803</c:v>
                </c:pt>
                <c:pt idx="13">
                  <c:v>10.910970873722928</c:v>
                </c:pt>
                <c:pt idx="14">
                  <c:v>9.477231384741085</c:v>
                </c:pt>
                <c:pt idx="15">
                  <c:v>9.4304708924858591</c:v>
                </c:pt>
                <c:pt idx="16">
                  <c:v>10.825433405940846</c:v>
                </c:pt>
                <c:pt idx="17">
                  <c:v>10.112269012177036</c:v>
                </c:pt>
                <c:pt idx="18">
                  <c:v>10.224554878333651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BB6-46BC-AFB8-71D62F3382FD}"/>
            </c:ext>
          </c:extLst>
        </c:ser>
        <c:ser>
          <c:idx val="4"/>
          <c:order val="4"/>
          <c:tx>
            <c:strRef>
              <c:f>Productivity!$A$110:$C$110</c:f>
              <c:strCache>
                <c:ptCount val="3"/>
                <c:pt idx="0">
                  <c:v>TOTAL LBS./ COW</c:v>
                </c:pt>
              </c:strCache>
            </c:strRef>
          </c:tx>
          <c:trendline>
            <c:trendlineType val="linear"/>
            <c:dispRSqr val="0"/>
            <c:dispEq val="0"/>
          </c:trendline>
          <c:cat>
            <c:numRef>
              <c:f>Productivity!$D$105:$V$105</c:f>
              <c:numCache>
                <c:formatCode>0</c:formatCode>
                <c:ptCount val="19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</c:numCache>
            </c:numRef>
          </c:cat>
          <c:val>
            <c:numRef>
              <c:f>Productivity!$D$110:$V$110</c:f>
              <c:numCache>
                <c:formatCode>#,##0.0</c:formatCode>
                <c:ptCount val="19"/>
                <c:pt idx="0">
                  <c:v>551.08171649242831</c:v>
                </c:pt>
                <c:pt idx="1">
                  <c:v>579.13554090728428</c:v>
                </c:pt>
                <c:pt idx="2">
                  <c:v>629.8246578798246</c:v>
                </c:pt>
                <c:pt idx="3">
                  <c:v>670.65170822533139</c:v>
                </c:pt>
                <c:pt idx="4">
                  <c:v>727.42741708739447</c:v>
                </c:pt>
                <c:pt idx="5">
                  <c:v>506.9278881197925</c:v>
                </c:pt>
                <c:pt idx="6">
                  <c:v>554.31699085335981</c:v>
                </c:pt>
                <c:pt idx="7">
                  <c:v>597.04249879322833</c:v>
                </c:pt>
                <c:pt idx="8">
                  <c:v>598.07846192309387</c:v>
                </c:pt>
                <c:pt idx="9">
                  <c:v>653.43419207887848</c:v>
                </c:pt>
                <c:pt idx="10">
                  <c:v>708.19336532112072</c:v>
                </c:pt>
                <c:pt idx="11">
                  <c:v>647.90288892870808</c:v>
                </c:pt>
                <c:pt idx="12">
                  <c:v>700.11688024725925</c:v>
                </c:pt>
                <c:pt idx="13">
                  <c:v>623.08556745817123</c:v>
                </c:pt>
                <c:pt idx="14">
                  <c:v>639.40739456747974</c:v>
                </c:pt>
                <c:pt idx="15">
                  <c:v>669.60856118087008</c:v>
                </c:pt>
                <c:pt idx="16">
                  <c:v>719.93598707317233</c:v>
                </c:pt>
                <c:pt idx="17">
                  <c:v>649.20292294312401</c:v>
                </c:pt>
                <c:pt idx="18">
                  <c:v>695.06659538723977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BB6-46BC-AFB8-71D62F3382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0635648"/>
        <c:axId val="170637184"/>
      </c:lineChart>
      <c:catAx>
        <c:axId val="17063564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1400" b="1"/>
            </a:pPr>
            <a:endParaRPr lang="en-US"/>
          </a:p>
        </c:txPr>
        <c:crossAx val="170637184"/>
        <c:crosses val="autoZero"/>
        <c:auto val="1"/>
        <c:lblAlgn val="ctr"/>
        <c:lblOffset val="100"/>
        <c:noMultiLvlLbl val="0"/>
      </c:catAx>
      <c:valAx>
        <c:axId val="170637184"/>
        <c:scaling>
          <c:orientation val="minMax"/>
        </c:scaling>
        <c:delete val="0"/>
        <c:axPos val="l"/>
        <c:majorGridlines/>
        <c:numFmt formatCode="0.0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600" b="1" i="0" baseline="0"/>
            </a:pPr>
            <a:endParaRPr lang="en-US"/>
          </a:p>
        </c:txPr>
        <c:crossAx val="170635648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200" b="1"/>
          </a:pPr>
          <a:endParaRPr lang="en-US"/>
        </a:p>
      </c:txPr>
    </c:legend>
    <c:plotVisOnly val="1"/>
    <c:dispBlanksAs val="gap"/>
    <c:showDLblsOverMax val="0"/>
  </c:char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/>
            </a:pPr>
            <a:r>
              <a:rPr lang="en-US"/>
              <a:t>Pounds of Beef per Cwt of Live Cow Weight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3205130158097098E-2"/>
          <c:y val="9.6369718273480343E-2"/>
          <c:w val="0.91067311167704601"/>
          <c:h val="0.74573086848126457"/>
        </c:manualLayout>
      </c:layout>
      <c:lineChart>
        <c:grouping val="standard"/>
        <c:varyColors val="0"/>
        <c:ser>
          <c:idx val="0"/>
          <c:order val="0"/>
          <c:tx>
            <c:strRef>
              <c:f>Productivity!$A$113:$C$113</c:f>
              <c:strCache>
                <c:ptCount val="3"/>
                <c:pt idx="0">
                  <c:v>Steer Beef per cwt of Beef Cow</c:v>
                </c:pt>
              </c:strCache>
            </c:strRef>
          </c:tx>
          <c:trendline>
            <c:trendlineType val="linear"/>
            <c:dispRSqr val="0"/>
            <c:dispEq val="0"/>
          </c:trendline>
          <c:cat>
            <c:numRef>
              <c:f>Productivity!$D$112:$V$112</c:f>
              <c:numCache>
                <c:formatCode>General</c:formatCode>
                <c:ptCount val="19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</c:numCache>
            </c:numRef>
          </c:cat>
          <c:val>
            <c:numRef>
              <c:f>Productivity!$D$113:$V$113</c:f>
              <c:numCache>
                <c:formatCode>#,##0.0</c:formatCode>
                <c:ptCount val="19"/>
                <c:pt idx="0">
                  <c:v>19.587760833031691</c:v>
                </c:pt>
                <c:pt idx="1">
                  <c:v>20.059754877444238</c:v>
                </c:pt>
                <c:pt idx="2">
                  <c:v>21.339640086240518</c:v>
                </c:pt>
                <c:pt idx="3">
                  <c:v>21.503559291965903</c:v>
                </c:pt>
                <c:pt idx="4">
                  <c:v>22.330855375197093</c:v>
                </c:pt>
                <c:pt idx="5">
                  <c:v>17.362738075243016</c:v>
                </c:pt>
                <c:pt idx="6">
                  <c:v>18.663196171330497</c:v>
                </c:pt>
                <c:pt idx="7">
                  <c:v>19.970315934292358</c:v>
                </c:pt>
                <c:pt idx="8">
                  <c:v>18.359629343518328</c:v>
                </c:pt>
                <c:pt idx="9">
                  <c:v>19.964187109237496</c:v>
                </c:pt>
                <c:pt idx="10">
                  <c:v>19.681478588007874</c:v>
                </c:pt>
                <c:pt idx="11">
                  <c:v>18.611203172221447</c:v>
                </c:pt>
                <c:pt idx="12">
                  <c:v>20.861484799700943</c:v>
                </c:pt>
                <c:pt idx="13">
                  <c:v>19.673735056801998</c:v>
                </c:pt>
                <c:pt idx="14">
                  <c:v>19.92104275028256</c:v>
                </c:pt>
                <c:pt idx="15">
                  <c:v>20.430029236822985</c:v>
                </c:pt>
                <c:pt idx="16">
                  <c:v>21.45219966675646</c:v>
                </c:pt>
                <c:pt idx="17">
                  <c:v>20.276369541426213</c:v>
                </c:pt>
                <c:pt idx="18">
                  <c:v>21.120518620686973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D3-443D-A2C6-BE5D4D72E60B}"/>
            </c:ext>
          </c:extLst>
        </c:ser>
        <c:ser>
          <c:idx val="1"/>
          <c:order val="1"/>
          <c:tx>
            <c:strRef>
              <c:f>Productivity!$A$114:$C$114</c:f>
              <c:strCache>
                <c:ptCount val="3"/>
                <c:pt idx="0">
                  <c:v>Heifer Beef per cwt of Beef Cow</c:v>
                </c:pt>
              </c:strCache>
            </c:strRef>
          </c:tx>
          <c:trendline>
            <c:trendlineType val="linear"/>
            <c:dispRSqr val="0"/>
            <c:dispEq val="0"/>
          </c:trendline>
          <c:cat>
            <c:numRef>
              <c:f>Productivity!$D$112:$V$112</c:f>
              <c:numCache>
                <c:formatCode>General</c:formatCode>
                <c:ptCount val="19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</c:numCache>
            </c:numRef>
          </c:cat>
          <c:val>
            <c:numRef>
              <c:f>Productivity!$D$114:$V$114</c:f>
              <c:numCache>
                <c:formatCode>#,##0.0</c:formatCode>
                <c:ptCount val="19"/>
                <c:pt idx="0">
                  <c:v>14.577146270032607</c:v>
                </c:pt>
                <c:pt idx="1">
                  <c:v>15.721487029328751</c:v>
                </c:pt>
                <c:pt idx="2">
                  <c:v>15.004382757181919</c:v>
                </c:pt>
                <c:pt idx="3">
                  <c:v>15.974873865487888</c:v>
                </c:pt>
                <c:pt idx="4">
                  <c:v>16.904121618318495</c:v>
                </c:pt>
                <c:pt idx="5">
                  <c:v>12.213084663836524</c:v>
                </c:pt>
                <c:pt idx="6">
                  <c:v>14.454303070859503</c:v>
                </c:pt>
                <c:pt idx="7">
                  <c:v>14.743420671082175</c:v>
                </c:pt>
                <c:pt idx="8">
                  <c:v>14.669841728841766</c:v>
                </c:pt>
                <c:pt idx="9">
                  <c:v>16.047385474690564</c:v>
                </c:pt>
                <c:pt idx="10">
                  <c:v>16.951742626546679</c:v>
                </c:pt>
                <c:pt idx="11">
                  <c:v>15.368656236158326</c:v>
                </c:pt>
                <c:pt idx="12">
                  <c:v>16.818367860470669</c:v>
                </c:pt>
                <c:pt idx="13">
                  <c:v>14.403293557190169</c:v>
                </c:pt>
                <c:pt idx="14">
                  <c:v>14.484969874479624</c:v>
                </c:pt>
                <c:pt idx="15">
                  <c:v>14.845918395611488</c:v>
                </c:pt>
                <c:pt idx="16">
                  <c:v>17.589502402656002</c:v>
                </c:pt>
                <c:pt idx="17">
                  <c:v>13.673032983012911</c:v>
                </c:pt>
                <c:pt idx="18">
                  <c:v>14.225848088152016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0D3-443D-A2C6-BE5D4D72E60B}"/>
            </c:ext>
          </c:extLst>
        </c:ser>
        <c:ser>
          <c:idx val="2"/>
          <c:order val="2"/>
          <c:tx>
            <c:strRef>
              <c:f>Productivity!$A$115:$C$115</c:f>
              <c:strCache>
                <c:ptCount val="3"/>
                <c:pt idx="0">
                  <c:v>Cow Beef per cwt of Beef Cow</c:v>
                </c:pt>
              </c:strCache>
            </c:strRef>
          </c:tx>
          <c:trendline>
            <c:trendlineType val="linear"/>
            <c:dispRSqr val="0"/>
            <c:dispEq val="0"/>
          </c:trendline>
          <c:cat>
            <c:numRef>
              <c:f>Productivity!$D$112:$V$112</c:f>
              <c:numCache>
                <c:formatCode>General</c:formatCode>
                <c:ptCount val="19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</c:numCache>
            </c:numRef>
          </c:cat>
          <c:val>
            <c:numRef>
              <c:f>Productivity!$D$115:$V$115</c:f>
              <c:numCache>
                <c:formatCode>#,##0.0</c:formatCode>
                <c:ptCount val="19"/>
                <c:pt idx="0">
                  <c:v>1.4787749715177638</c:v>
                </c:pt>
                <c:pt idx="1">
                  <c:v>1.3525778999911187</c:v>
                </c:pt>
                <c:pt idx="2">
                  <c:v>3.1286360508743143</c:v>
                </c:pt>
                <c:pt idx="3">
                  <c:v>4.3179093758123344</c:v>
                </c:pt>
                <c:pt idx="4">
                  <c:v>5.7862574348734661</c:v>
                </c:pt>
                <c:pt idx="5">
                  <c:v>1.4387083043274065</c:v>
                </c:pt>
                <c:pt idx="6">
                  <c:v>0.85270201219649366</c:v>
                </c:pt>
                <c:pt idx="7">
                  <c:v>2.2574459875568449</c:v>
                </c:pt>
                <c:pt idx="8">
                  <c:v>3.9061218126327395</c:v>
                </c:pt>
                <c:pt idx="9">
                  <c:v>4.2952081200464516</c:v>
                </c:pt>
                <c:pt idx="10">
                  <c:v>7.1275692431223652</c:v>
                </c:pt>
                <c:pt idx="11">
                  <c:v>6.0065784956756083</c:v>
                </c:pt>
                <c:pt idx="12">
                  <c:v>5.1746713241136559</c:v>
                </c:pt>
                <c:pt idx="13">
                  <c:v>3.7007929323808906</c:v>
                </c:pt>
                <c:pt idx="14">
                  <c:v>3.1695891970266605</c:v>
                </c:pt>
                <c:pt idx="15">
                  <c:v>4.6241391405961085</c:v>
                </c:pt>
                <c:pt idx="16">
                  <c:v>4.4262164505812729</c:v>
                </c:pt>
                <c:pt idx="17">
                  <c:v>3.5267820956136857</c:v>
                </c:pt>
                <c:pt idx="18">
                  <c:v>3.8399025045490349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0D3-443D-A2C6-BE5D4D72E60B}"/>
            </c:ext>
          </c:extLst>
        </c:ser>
        <c:ser>
          <c:idx val="3"/>
          <c:order val="3"/>
          <c:tx>
            <c:strRef>
              <c:f>Productivity!$A$116:$C$116</c:f>
              <c:strCache>
                <c:ptCount val="3"/>
                <c:pt idx="0">
                  <c:v>Bull Beef per Cwt of cow</c:v>
                </c:pt>
              </c:strCache>
            </c:strRef>
          </c:tx>
          <c:cat>
            <c:numRef>
              <c:f>Productivity!$D$112:$V$112</c:f>
              <c:numCache>
                <c:formatCode>General</c:formatCode>
                <c:ptCount val="19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</c:numCache>
            </c:numRef>
          </c:cat>
          <c:val>
            <c:numRef>
              <c:f>Productivity!$D$116:$V$116</c:f>
              <c:numCache>
                <c:formatCode>#,##0.0</c:formatCode>
                <c:ptCount val="19"/>
                <c:pt idx="0">
                  <c:v>0.5235486131853907</c:v>
                </c:pt>
                <c:pt idx="1">
                  <c:v>0.51842050068406687</c:v>
                </c:pt>
                <c:pt idx="2">
                  <c:v>0.61756654083282181</c:v>
                </c:pt>
                <c:pt idx="3">
                  <c:v>0.63693119443325419</c:v>
                </c:pt>
                <c:pt idx="4">
                  <c:v>0.63972776628844874</c:v>
                </c:pt>
                <c:pt idx="5">
                  <c:v>0.30437703962225254</c:v>
                </c:pt>
                <c:pt idx="6">
                  <c:v>0.32405046063183301</c:v>
                </c:pt>
                <c:pt idx="7">
                  <c:v>0.44129693080540999</c:v>
                </c:pt>
                <c:pt idx="8">
                  <c:v>0.40336612374657344</c:v>
                </c:pt>
                <c:pt idx="9">
                  <c:v>0.43776772103763328</c:v>
                </c:pt>
                <c:pt idx="10">
                  <c:v>0.61846596811839549</c:v>
                </c:pt>
                <c:pt idx="11">
                  <c:v>0.53147974689831479</c:v>
                </c:pt>
                <c:pt idx="12">
                  <c:v>0.59190806859657441</c:v>
                </c:pt>
                <c:pt idx="13">
                  <c:v>0.54773950169291818</c:v>
                </c:pt>
                <c:pt idx="14">
                  <c:v>0.47528743153164921</c:v>
                </c:pt>
                <c:pt idx="15">
                  <c:v>0.54260476941805857</c:v>
                </c:pt>
                <c:pt idx="16">
                  <c:v>0.58380791498268036</c:v>
                </c:pt>
                <c:pt idx="17">
                  <c:v>0.50428214574408736</c:v>
                </c:pt>
                <c:pt idx="18">
                  <c:v>0.50317691330382142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0D3-443D-A2C6-BE5D4D72E6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0583936"/>
        <c:axId val="170585472"/>
      </c:lineChart>
      <c:catAx>
        <c:axId val="170583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en-US"/>
          </a:p>
        </c:txPr>
        <c:crossAx val="170585472"/>
        <c:crosses val="autoZero"/>
        <c:auto val="1"/>
        <c:lblAlgn val="ctr"/>
        <c:lblOffset val="100"/>
        <c:noMultiLvlLbl val="0"/>
      </c:catAx>
      <c:valAx>
        <c:axId val="170585472"/>
        <c:scaling>
          <c:orientation val="minMax"/>
        </c:scaling>
        <c:delete val="0"/>
        <c:axPos val="l"/>
        <c:majorGridlines/>
        <c:numFmt formatCode="#,##0.0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600" b="1"/>
            </a:pPr>
            <a:endParaRPr lang="en-US"/>
          </a:p>
        </c:txPr>
        <c:crossAx val="17058393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7.420082471390517E-2"/>
          <c:y val="0.49364885474343095"/>
          <c:w val="0.8515983505721898"/>
          <c:h val="0.20355613271163672"/>
        </c:manualLayout>
      </c:layout>
      <c:overlay val="0"/>
      <c:txPr>
        <a:bodyPr/>
        <a:lstStyle/>
        <a:p>
          <a:pPr>
            <a:defRPr sz="1200" b="1"/>
          </a:pPr>
          <a:endParaRPr lang="en-US"/>
        </a:p>
      </c:txPr>
    </c:legend>
    <c:plotVisOnly val="1"/>
    <c:dispBlanksAs val="gap"/>
    <c:showDLblsOverMax val="0"/>
  </c:char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 sz="2800">
                <a:solidFill>
                  <a:srgbClr val="002060"/>
                </a:solidFill>
              </a:defRPr>
            </a:pPr>
            <a:r>
              <a:rPr lang="en-US" sz="2800">
                <a:solidFill>
                  <a:srgbClr val="002060"/>
                </a:solidFill>
              </a:rPr>
              <a:t>Distribution of Canadian Beef Production 2016</a:t>
            </a:r>
          </a:p>
        </c:rich>
      </c:tx>
      <c:overlay val="0"/>
      <c:spPr>
        <a:noFill/>
      </c:spPr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'Supply &amp;Disposition'!$A$124:$A$130</c:f>
              <c:strCache>
                <c:ptCount val="7"/>
                <c:pt idx="0">
                  <c:v>    Exported as Fed Sl to USA</c:v>
                </c:pt>
                <c:pt idx="1">
                  <c:v>    Exported as Non-Fed Sl to USA</c:v>
                </c:pt>
                <c:pt idx="2">
                  <c:v>    Exported as feeder cattle to USA</c:v>
                </c:pt>
                <c:pt idx="3">
                  <c:v>    Exported as Beef to USA</c:v>
                </c:pt>
                <c:pt idx="4">
                  <c:v>    Exported as Beef to Mexico</c:v>
                </c:pt>
                <c:pt idx="5">
                  <c:v>    Exported as Beef to Rest of World</c:v>
                </c:pt>
                <c:pt idx="6">
                  <c:v>    Consumed in Canada</c:v>
                </c:pt>
              </c:strCache>
            </c:strRef>
          </c:cat>
          <c:val>
            <c:numRef>
              <c:f>'Supply &amp;Disposition'!$B$124:$B$130</c:f>
              <c:numCache>
                <c:formatCode>0%</c:formatCode>
                <c:ptCount val="7"/>
                <c:pt idx="0" formatCode="0.0%">
                  <c:v>9.9304389502766335E-2</c:v>
                </c:pt>
                <c:pt idx="1">
                  <c:v>5.7387091469731803E-2</c:v>
                </c:pt>
                <c:pt idx="2" formatCode="0.0%">
                  <c:v>5.793851463639374E-2</c:v>
                </c:pt>
                <c:pt idx="3" formatCode="0.0%">
                  <c:v>0.27677389797789931</c:v>
                </c:pt>
                <c:pt idx="4" formatCode="0.0%">
                  <c:v>1.6557693150277678E-2</c:v>
                </c:pt>
                <c:pt idx="5" formatCode="0.0%">
                  <c:v>7.5508127153812291E-2</c:v>
                </c:pt>
                <c:pt idx="6" formatCode="0.00%">
                  <c:v>0.41673277055608815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DD63-40F9-843E-1046B03CF50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5" workbookViewId="0"/>
  </sheetViews>
  <sheetProtection content="1" objects="1"/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90" workbookViewId="0"/>
  </sheetViews>
  <sheetProtection content="1" objects="1"/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80" workbookViewId="0"/>
  </sheetViews>
  <sheetProtection content="1" objects="1"/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68" workbookViewId="0"/>
  </sheetViews>
  <sheetProtection content="1" objects="1"/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444500</xdr:colOff>
      <xdr:row>107</xdr:row>
      <xdr:rowOff>82550</xdr:rowOff>
    </xdr:from>
    <xdr:to>
      <xdr:col>14</xdr:col>
      <xdr:colOff>527050</xdr:colOff>
      <xdr:row>107</xdr:row>
      <xdr:rowOff>127000</xdr:rowOff>
    </xdr:to>
    <xdr:graphicFrame macro="">
      <xdr:nvGraphicFramePr>
        <xdr:cNvPr id="1404283" name="Chart 8">
          <a:extLst>
            <a:ext uri="{FF2B5EF4-FFF2-40B4-BE49-F238E27FC236}">
              <a16:creationId xmlns:a16="http://schemas.microsoft.com/office/drawing/2014/main" id="{298B17EA-58CD-4B37-A045-00D2610F6FC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50800</xdr:colOff>
      <xdr:row>131</xdr:row>
      <xdr:rowOff>82550</xdr:rowOff>
    </xdr:from>
    <xdr:to>
      <xdr:col>10</xdr:col>
      <xdr:colOff>95250</xdr:colOff>
      <xdr:row>131</xdr:row>
      <xdr:rowOff>127000</xdr:rowOff>
    </xdr:to>
    <xdr:graphicFrame macro="">
      <xdr:nvGraphicFramePr>
        <xdr:cNvPr id="1404284" name="Chart 9">
          <a:extLst>
            <a:ext uri="{FF2B5EF4-FFF2-40B4-BE49-F238E27FC236}">
              <a16:creationId xmlns:a16="http://schemas.microsoft.com/office/drawing/2014/main" id="{9E58ACB7-8CAF-453A-AD4E-A2445BF80E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0</xdr:col>
      <xdr:colOff>38100</xdr:colOff>
      <xdr:row>122</xdr:row>
      <xdr:rowOff>146050</xdr:rowOff>
    </xdr:from>
    <xdr:ext cx="11988800" cy="75351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3E39B313-8EE6-4662-946E-415993CDE9E6}"/>
            </a:ext>
          </a:extLst>
        </xdr:cNvPr>
        <xdr:cNvSpPr txBox="1"/>
      </xdr:nvSpPr>
      <xdr:spPr>
        <a:xfrm>
          <a:off x="38100" y="28206700"/>
          <a:ext cx="11988800" cy="7535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CA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1400" cy="62865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B4D637C-AA1B-47A8-8C18-6C2C41AD6FB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57167" cy="62865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A88108D-CB86-40B5-A5B0-CAB55C27462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840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5A1183F-EF9B-44CD-95CA-6D045645023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84559" cy="630330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12F7372-766F-4979-8DDB-A0B49C0DB531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3"/>
  <sheetViews>
    <sheetView tabSelected="1" workbookViewId="0">
      <pane xSplit="1" ySplit="3" topLeftCell="K4" activePane="bottomRight" state="frozen"/>
      <selection pane="topRight" activeCell="B1" sqref="B1"/>
      <selection pane="bottomLeft" activeCell="A4" sqref="A4"/>
      <selection pane="bottomRight" activeCell="W101" sqref="W101"/>
    </sheetView>
  </sheetViews>
  <sheetFormatPr defaultRowHeight="12.75"/>
  <cols>
    <col min="1" max="1" width="55.7109375" style="129" customWidth="1"/>
    <col min="2" max="26" width="12.5703125" style="129" customWidth="1"/>
    <col min="27" max="16384" width="9.140625" style="129"/>
  </cols>
  <sheetData>
    <row r="1" spans="1:25" ht="60" customHeight="1">
      <c r="A1" s="235" t="s">
        <v>61</v>
      </c>
      <c r="B1" s="235"/>
    </row>
    <row r="2" spans="1:25" ht="35.1" customHeight="1">
      <c r="A2" s="130" t="s">
        <v>59</v>
      </c>
      <c r="W2" s="251" t="s">
        <v>150</v>
      </c>
    </row>
    <row r="3" spans="1:25" ht="17.45" customHeight="1">
      <c r="A3" s="131" t="s">
        <v>60</v>
      </c>
      <c r="B3" s="132">
        <f>Productivity!B7</f>
        <v>1996</v>
      </c>
      <c r="C3" s="132">
        <f>Productivity!C7</f>
        <v>1997</v>
      </c>
      <c r="D3" s="132">
        <f>Productivity!D7</f>
        <v>1998</v>
      </c>
      <c r="E3" s="132">
        <f>Productivity!E7</f>
        <v>1999</v>
      </c>
      <c r="F3" s="132">
        <f>Productivity!F7</f>
        <v>2000</v>
      </c>
      <c r="G3" s="132">
        <f>Productivity!G7</f>
        <v>2001</v>
      </c>
      <c r="H3" s="132">
        <f>Productivity!H7</f>
        <v>2002</v>
      </c>
      <c r="I3" s="132">
        <f>Productivity!I7</f>
        <v>2003</v>
      </c>
      <c r="J3" s="132">
        <f>Productivity!J7</f>
        <v>2004</v>
      </c>
      <c r="K3" s="132">
        <f>Productivity!K7</f>
        <v>2005</v>
      </c>
      <c r="L3" s="132">
        <f>Productivity!L7</f>
        <v>2006</v>
      </c>
      <c r="M3" s="132">
        <f>Productivity!M7</f>
        <v>2007</v>
      </c>
      <c r="N3" s="132">
        <f>Productivity!N7</f>
        <v>2008</v>
      </c>
      <c r="O3" s="132">
        <f>Productivity!O7</f>
        <v>2009</v>
      </c>
      <c r="P3" s="132">
        <f>Productivity!P7</f>
        <v>2010</v>
      </c>
      <c r="Q3" s="132">
        <f>Productivity!Q7</f>
        <v>2011</v>
      </c>
      <c r="R3" s="132">
        <f>Productivity!R7</f>
        <v>2012</v>
      </c>
      <c r="S3" s="132">
        <f>Productivity!S7</f>
        <v>2013</v>
      </c>
      <c r="T3" s="132">
        <f>Productivity!T7</f>
        <v>2014</v>
      </c>
      <c r="U3" s="132">
        <f>Productivity!U7</f>
        <v>2015</v>
      </c>
      <c r="V3" s="132">
        <f>Productivity!V7</f>
        <v>2016</v>
      </c>
      <c r="W3" s="252">
        <v>2017</v>
      </c>
      <c r="X3" s="133"/>
      <c r="Y3" s="133"/>
    </row>
    <row r="4" spans="1:25" ht="17.45" customHeight="1"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133"/>
      <c r="V4" s="133"/>
      <c r="W4" s="133"/>
      <c r="X4" s="133"/>
      <c r="Y4" s="133"/>
    </row>
    <row r="5" spans="1:25" ht="17.45" customHeight="1">
      <c r="A5" s="134" t="s">
        <v>95</v>
      </c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3"/>
      <c r="R5" s="133"/>
      <c r="S5" s="133"/>
      <c r="T5" s="133"/>
      <c r="U5" s="133"/>
      <c r="V5" s="133"/>
      <c r="W5" s="133"/>
      <c r="X5" s="133"/>
      <c r="Y5" s="133"/>
    </row>
    <row r="6" spans="1:25" ht="17.45" customHeight="1">
      <c r="A6" s="135" t="str">
        <f>Productivity!A8</f>
        <v xml:space="preserve">Beef Cows July 1 '000 head* </v>
      </c>
      <c r="B6" s="135">
        <f>Productivity!B8</f>
        <v>4763.2</v>
      </c>
      <c r="C6" s="135">
        <f>Productivity!C8</f>
        <v>4698.3999999999996</v>
      </c>
      <c r="D6" s="135">
        <f>Productivity!D8</f>
        <v>4617.1000000000004</v>
      </c>
      <c r="E6" s="135">
        <f>Productivity!E8</f>
        <v>4555.8999999999996</v>
      </c>
      <c r="F6" s="135">
        <f>Productivity!F8</f>
        <v>4451</v>
      </c>
      <c r="G6" s="135">
        <f>Productivity!G8</f>
        <v>4799.3</v>
      </c>
      <c r="H6" s="135">
        <f>Productivity!H8</f>
        <v>4821.6000000000004</v>
      </c>
      <c r="I6" s="135">
        <f>Productivity!I8</f>
        <v>4924.2</v>
      </c>
      <c r="J6" s="135">
        <f>Productivity!J8</f>
        <v>5334.7</v>
      </c>
      <c r="K6" s="135">
        <f>Productivity!K8</f>
        <v>5436.2</v>
      </c>
      <c r="L6" s="135">
        <f>Productivity!L8</f>
        <v>5164.6000000000004</v>
      </c>
      <c r="M6" s="135">
        <f>Productivity!M8</f>
        <v>5104.6000000000004</v>
      </c>
      <c r="N6" s="135">
        <f>Productivity!N8</f>
        <v>4862.3999999999996</v>
      </c>
      <c r="O6" s="135">
        <f>Productivity!O8</f>
        <v>4588</v>
      </c>
      <c r="P6" s="135">
        <f>Productivity!P8</f>
        <v>4291.8</v>
      </c>
      <c r="Q6" s="135">
        <f>Productivity!Q8</f>
        <v>4201.8</v>
      </c>
      <c r="R6" s="135">
        <f>Productivity!R8</f>
        <v>3951.3</v>
      </c>
      <c r="S6" s="135">
        <f>Productivity!S8</f>
        <v>3962.5</v>
      </c>
      <c r="T6" s="135">
        <f>Productivity!T8</f>
        <v>3926.6</v>
      </c>
      <c r="U6" s="135">
        <f>Productivity!U8</f>
        <v>3799.5</v>
      </c>
      <c r="V6" s="136">
        <f>Productivity!V8</f>
        <v>3811.4</v>
      </c>
      <c r="W6" s="210">
        <v>3800</v>
      </c>
      <c r="X6" s="133"/>
      <c r="Y6" s="133"/>
    </row>
    <row r="7" spans="1:25" ht="17.45" customHeight="1">
      <c r="A7" s="129" t="str">
        <f>Productivity!A9</f>
        <v>First Estimate</v>
      </c>
      <c r="B7" s="133"/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33"/>
      <c r="R7" s="133"/>
      <c r="S7" s="133"/>
      <c r="T7" s="133"/>
      <c r="U7" s="133"/>
      <c r="V7" s="254"/>
      <c r="W7" s="254"/>
      <c r="X7" s="133"/>
      <c r="Y7" s="133"/>
    </row>
    <row r="8" spans="1:25" ht="17.45" customHeight="1">
      <c r="A8" s="138" t="s">
        <v>91</v>
      </c>
      <c r="B8" s="133"/>
      <c r="C8" s="133"/>
      <c r="D8" s="133"/>
      <c r="E8" s="133"/>
      <c r="F8" s="133"/>
      <c r="G8" s="133"/>
      <c r="H8" s="133"/>
      <c r="I8" s="133"/>
      <c r="J8" s="133"/>
      <c r="K8" s="133"/>
      <c r="L8" s="133"/>
      <c r="M8" s="133"/>
      <c r="N8" s="133"/>
      <c r="O8" s="133"/>
      <c r="P8" s="133"/>
      <c r="Q8" s="133"/>
      <c r="R8" s="133"/>
      <c r="S8" s="133"/>
      <c r="T8" s="133"/>
      <c r="U8" s="133"/>
      <c r="V8" s="254"/>
      <c r="W8" s="254"/>
      <c r="X8" s="133"/>
      <c r="Y8" s="133"/>
    </row>
    <row r="9" spans="1:25" ht="17.45" customHeight="1">
      <c r="A9" s="139" t="s">
        <v>148</v>
      </c>
      <c r="B9" s="137">
        <f>Productivity!B11</f>
        <v>0</v>
      </c>
      <c r="C9" s="137">
        <f>Productivity!C11</f>
        <v>2984314</v>
      </c>
      <c r="D9" s="137">
        <f>Productivity!D11</f>
        <v>3138672</v>
      </c>
      <c r="E9" s="137">
        <f>Productivity!E11</f>
        <v>339261</v>
      </c>
      <c r="F9" s="137">
        <f>Productivity!F11</f>
        <v>3255180</v>
      </c>
      <c r="G9" s="137">
        <f>Productivity!G11</f>
        <v>3211050</v>
      </c>
      <c r="H9" s="137">
        <f>Productivity!H11</f>
        <v>3297007</v>
      </c>
      <c r="I9" s="137">
        <f>Productivity!I11</f>
        <v>2923475</v>
      </c>
      <c r="J9" s="137">
        <f>Productivity!J11</f>
        <v>3709788</v>
      </c>
      <c r="K9" s="137">
        <f>Productivity!K11</f>
        <v>3657735</v>
      </c>
      <c r="L9" s="137">
        <f>Productivity!L11</f>
        <v>3316824</v>
      </c>
      <c r="M9" s="137">
        <f>Productivity!M11</f>
        <v>3199395</v>
      </c>
      <c r="N9" s="137">
        <f>Productivity!N11</f>
        <v>3253879</v>
      </c>
      <c r="O9" s="137">
        <f>Productivity!O11</f>
        <v>3139039</v>
      </c>
      <c r="P9" s="137">
        <f>Productivity!P11</f>
        <v>3210305</v>
      </c>
      <c r="Q9" s="137">
        <f>Productivity!Q11</f>
        <v>2889627</v>
      </c>
      <c r="R9" s="137">
        <f>Productivity!R11</f>
        <v>2611153</v>
      </c>
      <c r="S9" s="137">
        <f>Productivity!S11</f>
        <v>2585690</v>
      </c>
      <c r="T9" s="137">
        <f>Productivity!T11</f>
        <v>2672808</v>
      </c>
      <c r="U9" s="137">
        <f>Productivity!U11</f>
        <v>2517514</v>
      </c>
      <c r="V9" s="137">
        <f>Productivity!V11</f>
        <v>2649021</v>
      </c>
      <c r="W9" s="211">
        <f>W15</f>
        <v>2603500</v>
      </c>
      <c r="X9" s="133"/>
      <c r="Y9" s="133"/>
    </row>
    <row r="10" spans="1:25" ht="17.45" customHeight="1">
      <c r="B10" s="137"/>
      <c r="C10" s="137"/>
      <c r="D10" s="137"/>
      <c r="E10" s="137"/>
      <c r="F10" s="137"/>
      <c r="G10" s="137"/>
      <c r="H10" s="137"/>
      <c r="I10" s="137"/>
      <c r="J10" s="137"/>
      <c r="K10" s="137"/>
      <c r="L10" s="137"/>
      <c r="M10" s="137"/>
      <c r="N10" s="137"/>
      <c r="O10" s="137"/>
      <c r="P10" s="137"/>
      <c r="Q10" s="137"/>
      <c r="R10" s="137"/>
      <c r="S10" s="137"/>
      <c r="T10" s="137"/>
      <c r="U10" s="137"/>
      <c r="V10" s="137"/>
      <c r="W10" s="211"/>
      <c r="X10" s="133"/>
      <c r="Y10" s="133"/>
    </row>
    <row r="11" spans="1:25" ht="17.45" customHeight="1">
      <c r="A11" s="129" t="str">
        <f>Productivity!A13</f>
        <v>Steers</v>
      </c>
      <c r="B11" s="137">
        <f>Productivity!B13</f>
        <v>1413199</v>
      </c>
      <c r="C11" s="137">
        <f>Productivity!C13</f>
        <v>1461627</v>
      </c>
      <c r="D11" s="137">
        <f>Productivity!D13</f>
        <v>1499626</v>
      </c>
      <c r="E11" s="137">
        <f>Productivity!E13</f>
        <v>1644543</v>
      </c>
      <c r="F11" s="137">
        <f>Productivity!F13</f>
        <v>1667040</v>
      </c>
      <c r="G11" s="137">
        <f>Productivity!G13</f>
        <v>1624871</v>
      </c>
      <c r="H11" s="137">
        <f>Productivity!H13</f>
        <v>1674532</v>
      </c>
      <c r="I11" s="137">
        <f>Productivity!I13</f>
        <v>1592351</v>
      </c>
      <c r="J11" s="137">
        <f>Productivity!J13</f>
        <v>1899606</v>
      </c>
      <c r="K11" s="137">
        <f>Productivity!K13</f>
        <v>1812713</v>
      </c>
      <c r="L11" s="137">
        <f>Productivity!L13</f>
        <v>1531480</v>
      </c>
      <c r="M11" s="137">
        <f>Productivity!M13</f>
        <v>1459428</v>
      </c>
      <c r="N11" s="137">
        <f>Productivity!N13</f>
        <v>1488588</v>
      </c>
      <c r="O11" s="137">
        <f>Productivity!O13</f>
        <v>1520831</v>
      </c>
      <c r="P11" s="137">
        <f>Productivity!P13</f>
        <v>1545105</v>
      </c>
      <c r="Q11" s="137">
        <f>Productivity!Q13</f>
        <v>1443183</v>
      </c>
      <c r="R11" s="137">
        <f>Productivity!R13</f>
        <v>1354578</v>
      </c>
      <c r="S11" s="137">
        <f>Productivity!S13</f>
        <v>1344108</v>
      </c>
      <c r="T11" s="137">
        <f>Productivity!T13</f>
        <v>1413141</v>
      </c>
      <c r="U11" s="137">
        <f>Productivity!U13</f>
        <v>1408535</v>
      </c>
      <c r="V11" s="137">
        <f>Productivity!V13</f>
        <v>1465996</v>
      </c>
      <c r="W11" s="211">
        <v>1258000</v>
      </c>
      <c r="X11" s="133"/>
      <c r="Y11" s="133"/>
    </row>
    <row r="12" spans="1:25" ht="17.45" customHeight="1">
      <c r="A12" s="129" t="str">
        <f>Productivity!A14</f>
        <v>Heifers</v>
      </c>
      <c r="B12" s="137">
        <f>Productivity!B14</f>
        <v>804983</v>
      </c>
      <c r="C12" s="137">
        <f>Productivity!C14</f>
        <v>918097</v>
      </c>
      <c r="D12" s="137">
        <f>Productivity!D14</f>
        <v>1004415</v>
      </c>
      <c r="E12" s="137">
        <f>Productivity!E14</f>
        <v>1159994</v>
      </c>
      <c r="F12" s="137">
        <f>Productivity!F14</f>
        <v>1113925</v>
      </c>
      <c r="G12" s="137">
        <f>Productivity!G14</f>
        <v>1097565</v>
      </c>
      <c r="H12" s="137">
        <f>Productivity!H14</f>
        <v>1116291</v>
      </c>
      <c r="I12" s="137">
        <f>Productivity!I14</f>
        <v>986120</v>
      </c>
      <c r="J12" s="137">
        <f>Productivity!J14</f>
        <v>1324089</v>
      </c>
      <c r="K12" s="137">
        <f>Productivity!K14</f>
        <v>1255235</v>
      </c>
      <c r="L12" s="137">
        <f>Productivity!L14</f>
        <v>1064577</v>
      </c>
      <c r="M12" s="137">
        <f>Productivity!M14</f>
        <v>1009653</v>
      </c>
      <c r="N12" s="137">
        <f>Productivity!N14</f>
        <v>994068</v>
      </c>
      <c r="O12" s="137">
        <f>Productivity!O14</f>
        <v>999361</v>
      </c>
      <c r="P12" s="137">
        <f>Productivity!P14</f>
        <v>1062659</v>
      </c>
      <c r="Q12" s="137">
        <f>Productivity!Q14</f>
        <v>919997</v>
      </c>
      <c r="R12" s="137">
        <f>Productivity!R14</f>
        <v>830364</v>
      </c>
      <c r="S12" s="137">
        <f>Productivity!S14</f>
        <v>780515</v>
      </c>
      <c r="T12" s="137">
        <f>Productivity!T14</f>
        <v>843330</v>
      </c>
      <c r="U12" s="137">
        <f>Productivity!U14</f>
        <v>746106</v>
      </c>
      <c r="V12" s="137">
        <f>Productivity!V14</f>
        <v>777629</v>
      </c>
      <c r="W12" s="211">
        <v>824000</v>
      </c>
      <c r="X12" s="133"/>
      <c r="Y12" s="133"/>
    </row>
    <row r="13" spans="1:25" ht="17.45" customHeight="1">
      <c r="A13" s="129" t="str">
        <f>Productivity!A15</f>
        <v>Cows</v>
      </c>
      <c r="B13" s="137">
        <f>Productivity!B15</f>
        <v>603740</v>
      </c>
      <c r="C13" s="137">
        <f>Productivity!C15</f>
        <v>588446</v>
      </c>
      <c r="D13" s="137">
        <f>Productivity!D15</f>
        <v>523466</v>
      </c>
      <c r="E13" s="137">
        <f>Productivity!E15</f>
        <v>507316</v>
      </c>
      <c r="F13" s="137">
        <f>Productivity!F15</f>
        <v>459969</v>
      </c>
      <c r="G13" s="137">
        <f>Productivity!G15</f>
        <v>475723</v>
      </c>
      <c r="H13" s="137">
        <f>Productivity!H15</f>
        <v>497002</v>
      </c>
      <c r="I13" s="137">
        <f>Productivity!I15</f>
        <v>330525</v>
      </c>
      <c r="J13" s="137">
        <f>Productivity!J15</f>
        <v>406798</v>
      </c>
      <c r="K13" s="137">
        <f>Productivity!K15</f>
        <v>545211</v>
      </c>
      <c r="L13" s="137">
        <f>Productivity!L15</f>
        <v>676259</v>
      </c>
      <c r="M13" s="137">
        <f>Productivity!M15</f>
        <v>684442</v>
      </c>
      <c r="N13" s="137">
        <f>Productivity!N15</f>
        <v>750838</v>
      </c>
      <c r="O13" s="137">
        <f>Productivity!O15</f>
        <v>602855</v>
      </c>
      <c r="P13" s="137">
        <f>Productivity!P15</f>
        <v>573247</v>
      </c>
      <c r="Q13" s="137">
        <f>Productivity!Q15</f>
        <v>501212</v>
      </c>
      <c r="R13" s="137">
        <f>Productivity!R15</f>
        <v>412390</v>
      </c>
      <c r="S13" s="137">
        <f>Productivity!S15</f>
        <v>456177</v>
      </c>
      <c r="T13" s="137">
        <f>Productivity!T15</f>
        <v>409933</v>
      </c>
      <c r="U13" s="137">
        <f>Productivity!U15</f>
        <v>352508</v>
      </c>
      <c r="V13" s="137">
        <f>Productivity!V15</f>
        <v>391840</v>
      </c>
      <c r="W13" s="211">
        <v>514000</v>
      </c>
      <c r="X13" s="133"/>
      <c r="Y13" s="133"/>
    </row>
    <row r="14" spans="1:25" ht="17.45" customHeight="1">
      <c r="A14" s="129" t="str">
        <f>Productivity!A16</f>
        <v>Bulls</v>
      </c>
      <c r="B14" s="137">
        <f>Productivity!B16</f>
        <v>0</v>
      </c>
      <c r="C14" s="137">
        <f>Productivity!C16</f>
        <v>24801</v>
      </c>
      <c r="D14" s="137">
        <f>Productivity!D16</f>
        <v>23277</v>
      </c>
      <c r="E14" s="137">
        <f>Productivity!E16</f>
        <v>28131</v>
      </c>
      <c r="F14" s="137">
        <f>Productivity!F16</f>
        <v>18120</v>
      </c>
      <c r="G14" s="137">
        <f>Productivity!G16</f>
        <v>12040</v>
      </c>
      <c r="H14" s="137">
        <f>Productivity!H16</f>
        <v>9843</v>
      </c>
      <c r="I14" s="137">
        <f>Productivity!I16</f>
        <v>14631</v>
      </c>
      <c r="J14" s="137">
        <f>Productivity!J16</f>
        <v>32983</v>
      </c>
      <c r="K14" s="137">
        <f>Productivity!K16</f>
        <v>46995</v>
      </c>
      <c r="L14" s="137">
        <f>Productivity!L16</f>
        <v>44415</v>
      </c>
      <c r="M14" s="137">
        <f>Productivity!M16</f>
        <v>45591</v>
      </c>
      <c r="N14" s="137">
        <f>Productivity!N16</f>
        <v>20390</v>
      </c>
      <c r="O14" s="137">
        <f>Productivity!O16</f>
        <v>15992</v>
      </c>
      <c r="P14" s="137">
        <f>Productivity!P16</f>
        <v>29294</v>
      </c>
      <c r="Q14" s="137">
        <f>Productivity!Q16</f>
        <v>25235</v>
      </c>
      <c r="R14" s="137">
        <f>Productivity!R16</f>
        <v>13821</v>
      </c>
      <c r="S14" s="137">
        <f>Productivity!S16</f>
        <v>4890</v>
      </c>
      <c r="T14" s="137">
        <f>Productivity!T16</f>
        <v>6358</v>
      </c>
      <c r="U14" s="137">
        <f>Productivity!U16</f>
        <v>10364</v>
      </c>
      <c r="V14" s="137">
        <f>Productivity!V16</f>
        <v>13556</v>
      </c>
      <c r="W14" s="211">
        <v>7500</v>
      </c>
      <c r="X14" s="133"/>
      <c r="Y14" s="133"/>
    </row>
    <row r="15" spans="1:25" ht="17.45" customHeight="1">
      <c r="A15" s="140" t="s">
        <v>26</v>
      </c>
      <c r="B15" s="137">
        <f>Productivity!B17</f>
        <v>2821922</v>
      </c>
      <c r="C15" s="137">
        <f>Productivity!C17</f>
        <v>2992971</v>
      </c>
      <c r="D15" s="137">
        <f>Productivity!D17</f>
        <v>3050784</v>
      </c>
      <c r="E15" s="137">
        <f>Productivity!E17</f>
        <v>3339984</v>
      </c>
      <c r="F15" s="137">
        <f>Productivity!F17</f>
        <v>3259054</v>
      </c>
      <c r="G15" s="137">
        <f>Productivity!G17</f>
        <v>3210199</v>
      </c>
      <c r="H15" s="137">
        <f>Productivity!H17</f>
        <v>3297668</v>
      </c>
      <c r="I15" s="137">
        <f>Productivity!I17</f>
        <v>2923627</v>
      </c>
      <c r="J15" s="137">
        <f>Productivity!J17</f>
        <v>3663476</v>
      </c>
      <c r="K15" s="137">
        <f>Productivity!K17</f>
        <v>3660154</v>
      </c>
      <c r="L15" s="137">
        <f>Productivity!L17</f>
        <v>3316731</v>
      </c>
      <c r="M15" s="141">
        <f>Productivity!M17</f>
        <v>3199114</v>
      </c>
      <c r="N15" s="141">
        <f>Productivity!N17</f>
        <v>3253884</v>
      </c>
      <c r="O15" s="141">
        <f>Productivity!O17</f>
        <v>3139039</v>
      </c>
      <c r="P15" s="141">
        <f>Productivity!P17</f>
        <v>3210305</v>
      </c>
      <c r="Q15" s="141">
        <f>Productivity!Q17</f>
        <v>2889627</v>
      </c>
      <c r="R15" s="141">
        <f>Productivity!R17</f>
        <v>2611153</v>
      </c>
      <c r="S15" s="141">
        <f>Productivity!S17</f>
        <v>2585690</v>
      </c>
      <c r="T15" s="141">
        <f>Productivity!T17</f>
        <v>2672762</v>
      </c>
      <c r="U15" s="141">
        <f>Productivity!U17</f>
        <v>2517513</v>
      </c>
      <c r="V15" s="141">
        <f>Productivity!V17</f>
        <v>2649021</v>
      </c>
      <c r="W15" s="211">
        <f>SUM(W11:W14)</f>
        <v>2603500</v>
      </c>
      <c r="X15" s="133"/>
      <c r="Y15" s="133"/>
    </row>
    <row r="16" spans="1:25" ht="17.45" customHeight="1">
      <c r="B16" s="137">
        <f>Productivity!B18</f>
        <v>0</v>
      </c>
      <c r="C16" s="137">
        <f>Productivity!C18</f>
        <v>0</v>
      </c>
      <c r="D16" s="137">
        <f>Productivity!D18</f>
        <v>0</v>
      </c>
      <c r="E16" s="137">
        <f>Productivity!E18</f>
        <v>0</v>
      </c>
      <c r="F16" s="137">
        <f>Productivity!F18</f>
        <v>0</v>
      </c>
      <c r="G16" s="137">
        <f>Productivity!G18</f>
        <v>0</v>
      </c>
      <c r="H16" s="137">
        <f>Productivity!H18</f>
        <v>0</v>
      </c>
      <c r="I16" s="137">
        <f>Productivity!I18</f>
        <v>0</v>
      </c>
      <c r="J16" s="137">
        <f>Productivity!J18</f>
        <v>0</v>
      </c>
      <c r="K16" s="137">
        <f>Productivity!K18</f>
        <v>0</v>
      </c>
      <c r="L16" s="137">
        <f>Productivity!L18</f>
        <v>0</v>
      </c>
      <c r="M16" s="137">
        <f>Productivity!M18</f>
        <v>0</v>
      </c>
      <c r="N16" s="137">
        <f>Productivity!N18</f>
        <v>0</v>
      </c>
      <c r="O16" s="137">
        <f>Productivity!O18</f>
        <v>0</v>
      </c>
      <c r="P16" s="137">
        <f>Productivity!P18</f>
        <v>0</v>
      </c>
      <c r="Q16" s="137">
        <f>Productivity!Q18</f>
        <v>0</v>
      </c>
      <c r="R16" s="137">
        <f>Productivity!R18</f>
        <v>0</v>
      </c>
      <c r="S16" s="137">
        <f>Productivity!S18</f>
        <v>0</v>
      </c>
      <c r="T16" s="137">
        <f>Productivity!T18</f>
        <v>0</v>
      </c>
      <c r="U16" s="137">
        <f>Productivity!U18</f>
        <v>0</v>
      </c>
      <c r="V16" s="137">
        <f>Productivity!V18</f>
        <v>0</v>
      </c>
      <c r="W16" s="211"/>
      <c r="X16" s="133"/>
      <c r="Y16" s="133"/>
    </row>
    <row r="17" spans="1:25" ht="17.45" customHeight="1">
      <c r="A17" s="139" t="s">
        <v>93</v>
      </c>
      <c r="B17" s="137">
        <f>Productivity!B19</f>
        <v>198209</v>
      </c>
      <c r="C17" s="137">
        <f>Productivity!C19</f>
        <v>184927</v>
      </c>
      <c r="D17" s="137">
        <f>Productivity!D19</f>
        <v>159798</v>
      </c>
      <c r="E17" s="137">
        <f>Productivity!E19</f>
        <v>162260</v>
      </c>
      <c r="F17" s="137">
        <f>Productivity!F19</f>
        <v>158557</v>
      </c>
      <c r="G17" s="137">
        <f>Productivity!G19</f>
        <v>165407</v>
      </c>
      <c r="H17" s="137">
        <f>Productivity!H19</f>
        <v>174400</v>
      </c>
      <c r="I17" s="137">
        <f>Productivity!I19</f>
        <v>185079</v>
      </c>
      <c r="J17" s="137">
        <f>Productivity!J19</f>
        <v>248017</v>
      </c>
      <c r="K17" s="137">
        <f>Productivity!K19</f>
        <v>273825</v>
      </c>
      <c r="L17" s="137">
        <f>Productivity!L19</f>
        <v>232181</v>
      </c>
      <c r="M17" s="137">
        <f>Productivity!M19</f>
        <v>222581</v>
      </c>
      <c r="N17" s="137">
        <f>Productivity!N19</f>
        <v>222627</v>
      </c>
      <c r="O17" s="137">
        <f>Productivity!O19</f>
        <v>215998</v>
      </c>
      <c r="P17" s="137">
        <f>Productivity!P19</f>
        <v>194535</v>
      </c>
      <c r="Q17" s="137">
        <f>Productivity!Q19</f>
        <v>168023</v>
      </c>
      <c r="R17" s="137">
        <f>Productivity!R19</f>
        <v>170885</v>
      </c>
      <c r="S17" s="137">
        <f>Productivity!S19</f>
        <v>166662</v>
      </c>
      <c r="T17" s="137">
        <f>Productivity!T19</f>
        <v>160220</v>
      </c>
      <c r="U17" s="137">
        <f>Productivity!U19</f>
        <v>155292</v>
      </c>
      <c r="V17" s="137">
        <f>Productivity!V19</f>
        <v>148885</v>
      </c>
      <c r="W17" s="211">
        <v>150000</v>
      </c>
      <c r="X17" s="133"/>
      <c r="Y17" s="133"/>
    </row>
    <row r="18" spans="1:25" ht="17.45" customHeight="1">
      <c r="B18" s="133"/>
      <c r="C18" s="133"/>
      <c r="D18" s="133"/>
      <c r="E18" s="133"/>
      <c r="F18" s="133"/>
      <c r="G18" s="133"/>
      <c r="H18" s="133"/>
      <c r="I18" s="133"/>
      <c r="J18" s="133"/>
      <c r="K18" s="133"/>
      <c r="L18" s="133"/>
      <c r="M18" s="133"/>
      <c r="N18" s="133"/>
      <c r="O18" s="133"/>
      <c r="P18" s="133"/>
      <c r="Q18" s="133"/>
      <c r="R18" s="133"/>
      <c r="S18" s="133"/>
      <c r="T18" s="133"/>
      <c r="U18" s="133"/>
      <c r="V18" s="133"/>
      <c r="W18" s="133"/>
      <c r="X18" s="133"/>
      <c r="Y18" s="133"/>
    </row>
    <row r="19" spans="1:25" ht="17.45" customHeight="1">
      <c r="A19" s="140" t="s">
        <v>94</v>
      </c>
      <c r="B19" s="137">
        <f>Productivity!B21</f>
        <v>3020131</v>
      </c>
      <c r="C19" s="137">
        <f>Productivity!C21</f>
        <v>3177898</v>
      </c>
      <c r="D19" s="137">
        <f>Productivity!D21</f>
        <v>3210582</v>
      </c>
      <c r="E19" s="137">
        <f>Productivity!E21</f>
        <v>3502244</v>
      </c>
      <c r="F19" s="137">
        <f>Productivity!F21</f>
        <v>3417611</v>
      </c>
      <c r="G19" s="137">
        <f>Productivity!G21</f>
        <v>3375606</v>
      </c>
      <c r="H19" s="137">
        <f>Productivity!H21</f>
        <v>3472068</v>
      </c>
      <c r="I19" s="137">
        <f>Productivity!I21</f>
        <v>3108706</v>
      </c>
      <c r="J19" s="137">
        <f>Productivity!J21</f>
        <v>3911493</v>
      </c>
      <c r="K19" s="137">
        <f>Productivity!K21</f>
        <v>3933979</v>
      </c>
      <c r="L19" s="137">
        <f>Productivity!L21</f>
        <v>3548912</v>
      </c>
      <c r="M19" s="141">
        <f>Productivity!M21</f>
        <v>3421695</v>
      </c>
      <c r="N19" s="141">
        <f>Productivity!N21</f>
        <v>3476511</v>
      </c>
      <c r="O19" s="141">
        <f>Productivity!O21</f>
        <v>3355037</v>
      </c>
      <c r="P19" s="141">
        <f>Productivity!P21</f>
        <v>3404840</v>
      </c>
      <c r="Q19" s="141">
        <f>Productivity!Q21</f>
        <v>3057650</v>
      </c>
      <c r="R19" s="141">
        <f>Productivity!R21</f>
        <v>2782038</v>
      </c>
      <c r="S19" s="141">
        <f>Productivity!S21</f>
        <v>2752352</v>
      </c>
      <c r="T19" s="141">
        <f>Productivity!T21</f>
        <v>2832982</v>
      </c>
      <c r="U19" s="141">
        <f>Productivity!U21</f>
        <v>2672805</v>
      </c>
      <c r="V19" s="141">
        <f>Productivity!V21</f>
        <v>2797906</v>
      </c>
      <c r="W19" s="211">
        <f>W15+W17</f>
        <v>2753500</v>
      </c>
      <c r="X19" s="133"/>
      <c r="Y19" s="133"/>
    </row>
    <row r="20" spans="1:25" ht="17.45" customHeight="1">
      <c r="A20" s="129" t="str">
        <f>Productivity!A22</f>
        <v xml:space="preserve">Percent PI slaughter </v>
      </c>
      <c r="B20" s="142">
        <f>B17/B19</f>
        <v>6.5629272372622241E-2</v>
      </c>
      <c r="C20" s="142">
        <f t="shared" ref="C20:W20" si="0">C17/C19</f>
        <v>5.8191609674067578E-2</v>
      </c>
      <c r="D20" s="142">
        <f t="shared" si="0"/>
        <v>4.9772284277430072E-2</v>
      </c>
      <c r="E20" s="142">
        <f t="shared" si="0"/>
        <v>4.6330295661867076E-2</v>
      </c>
      <c r="F20" s="142">
        <f t="shared" si="0"/>
        <v>4.6394103951561488E-2</v>
      </c>
      <c r="G20" s="142">
        <f t="shared" si="0"/>
        <v>4.9000683136598285E-2</v>
      </c>
      <c r="H20" s="142">
        <f t="shared" si="0"/>
        <v>5.0229430990406873E-2</v>
      </c>
      <c r="I20" s="142">
        <f t="shared" si="0"/>
        <v>5.9535703923111416E-2</v>
      </c>
      <c r="J20" s="142">
        <f t="shared" si="0"/>
        <v>6.3407246286775923E-2</v>
      </c>
      <c r="K20" s="142">
        <f t="shared" si="0"/>
        <v>6.9605099569672341E-2</v>
      </c>
      <c r="L20" s="142">
        <f t="shared" si="0"/>
        <v>6.5423149404662609E-2</v>
      </c>
      <c r="M20" s="142">
        <f t="shared" si="0"/>
        <v>6.5049924087330985E-2</v>
      </c>
      <c r="N20" s="142">
        <f t="shared" si="0"/>
        <v>6.4037478955193877E-2</v>
      </c>
      <c r="O20" s="142">
        <f t="shared" si="0"/>
        <v>6.4380213988698184E-2</v>
      </c>
      <c r="P20" s="142">
        <f t="shared" si="0"/>
        <v>5.7134843340656244E-2</v>
      </c>
      <c r="Q20" s="142">
        <f t="shared" si="0"/>
        <v>5.4951678576684711E-2</v>
      </c>
      <c r="R20" s="142">
        <f t="shared" si="0"/>
        <v>6.1424394634437059E-2</v>
      </c>
      <c r="S20" s="142">
        <f t="shared" si="0"/>
        <v>6.0552574670681654E-2</v>
      </c>
      <c r="T20" s="142">
        <f t="shared" si="0"/>
        <v>5.6555248144887611E-2</v>
      </c>
      <c r="U20" s="142">
        <f t="shared" si="0"/>
        <v>5.8100759314652584E-2</v>
      </c>
      <c r="V20" s="142">
        <f t="shared" si="0"/>
        <v>5.3213010015347194E-2</v>
      </c>
      <c r="W20" s="212">
        <f t="shared" si="0"/>
        <v>5.4476121300163431E-2</v>
      </c>
      <c r="X20" s="133"/>
      <c r="Y20" s="133"/>
    </row>
    <row r="21" spans="1:25" ht="17.45" customHeight="1">
      <c r="A21" s="143" t="s">
        <v>27</v>
      </c>
      <c r="B21" s="133"/>
      <c r="C21" s="133"/>
      <c r="D21" s="133"/>
      <c r="E21" s="133"/>
      <c r="F21" s="133"/>
      <c r="G21" s="133"/>
      <c r="H21" s="133"/>
      <c r="I21" s="133"/>
      <c r="J21" s="133"/>
      <c r="K21" s="133"/>
      <c r="L21" s="133"/>
      <c r="M21" s="133"/>
      <c r="N21" s="133"/>
      <c r="O21" s="133"/>
      <c r="P21" s="133"/>
      <c r="Q21" s="133"/>
      <c r="R21" s="133"/>
      <c r="S21" s="133"/>
      <c r="T21" s="133"/>
      <c r="U21" s="133"/>
      <c r="V21" s="133"/>
      <c r="W21" s="254"/>
      <c r="X21" s="133"/>
      <c r="Y21" s="133"/>
    </row>
    <row r="22" spans="1:25" ht="17.45" customHeight="1">
      <c r="A22" s="129" t="str">
        <f>Productivity!A25</f>
        <v>Steers</v>
      </c>
      <c r="B22" s="144">
        <f>Productivity!B25</f>
        <v>1512460.6948983707</v>
      </c>
      <c r="C22" s="144">
        <f>Productivity!C25</f>
        <v>1551936.6943568781</v>
      </c>
      <c r="D22" s="144">
        <f>Productivity!D25</f>
        <v>1578175.3943681363</v>
      </c>
      <c r="E22" s="144">
        <f>Productivity!E25</f>
        <v>1724436.6603229237</v>
      </c>
      <c r="F22" s="144">
        <f>Productivity!F25</f>
        <v>1748143.5537551695</v>
      </c>
      <c r="G22" s="144">
        <f>Productivity!G25</f>
        <v>1708593.2357545434</v>
      </c>
      <c r="H22" s="144">
        <f>Productivity!H25</f>
        <v>1763091.0607665782</v>
      </c>
      <c r="I22" s="144">
        <f>Productivity!I25</f>
        <v>1693154.1225354671</v>
      </c>
      <c r="J22" s="144">
        <f>Productivity!J25</f>
        <v>2028209.157575483</v>
      </c>
      <c r="K22" s="144">
        <f>Productivity!K25</f>
        <v>1948326.457036234</v>
      </c>
      <c r="L22" s="144">
        <f>Productivity!L25</f>
        <v>1638688.1389416265</v>
      </c>
      <c r="M22" s="144">
        <f>Productivity!M25</f>
        <v>1560968.9090354391</v>
      </c>
      <c r="N22" s="144">
        <f>Productivity!N25</f>
        <v>1590435.4784829454</v>
      </c>
      <c r="O22" s="144">
        <f>Productivity!O25</f>
        <v>1625479.7330479168</v>
      </c>
      <c r="P22" s="144">
        <f>Productivity!P25</f>
        <v>1638733.7988758078</v>
      </c>
      <c r="Q22" s="144">
        <f>Productivity!Q25</f>
        <v>1527099.6913961559</v>
      </c>
      <c r="R22" s="144">
        <f>Productivity!R25</f>
        <v>1443227.3673599365</v>
      </c>
      <c r="S22" s="144">
        <f>Productivity!S25</f>
        <v>1430743.1834504523</v>
      </c>
      <c r="T22" s="144">
        <f>Productivity!T25</f>
        <v>1497852.4150156281</v>
      </c>
      <c r="U22" s="144">
        <f>Productivity!U25</f>
        <v>1495420.0398071429</v>
      </c>
      <c r="V22" s="144">
        <f>Productivity!V25</f>
        <v>1548390.5202623913</v>
      </c>
      <c r="W22" s="211">
        <f>Productivity!W25</f>
        <v>1329323.5798320037</v>
      </c>
      <c r="X22" s="133"/>
      <c r="Y22" s="133"/>
    </row>
    <row r="23" spans="1:25" ht="17.45" customHeight="1">
      <c r="A23" s="129" t="str">
        <f>Productivity!A26</f>
        <v>Heifers</v>
      </c>
      <c r="B23" s="144">
        <f>Productivity!B26</f>
        <v>861524.20682534808</v>
      </c>
      <c r="C23" s="144">
        <f>Productivity!C26</f>
        <v>974823.55161677138</v>
      </c>
      <c r="D23" s="144">
        <f>Productivity!D26</f>
        <v>1057025.5775335126</v>
      </c>
      <c r="E23" s="144">
        <f>Productivity!E26</f>
        <v>1216347.7509281482</v>
      </c>
      <c r="F23" s="144">
        <f>Productivity!F26</f>
        <v>1168118.8262529557</v>
      </c>
      <c r="G23" s="144">
        <f>Productivity!G26</f>
        <v>1154117.5482859474</v>
      </c>
      <c r="H23" s="144">
        <f>Productivity!H26</f>
        <v>1175327.0067781233</v>
      </c>
      <c r="I23" s="144">
        <f>Productivity!I26</f>
        <v>1048545.9194076399</v>
      </c>
      <c r="J23" s="144">
        <f>Productivity!J26</f>
        <v>1413729.7077630644</v>
      </c>
      <c r="K23" s="144">
        <f>Productivity!K26</f>
        <v>1349142.1754562785</v>
      </c>
      <c r="L23" s="144">
        <f>Productivity!L26</f>
        <v>1139100.5451524407</v>
      </c>
      <c r="M23" s="144">
        <f>Productivity!M26</f>
        <v>1079900.4417582494</v>
      </c>
      <c r="N23" s="144">
        <f>Productivity!N26</f>
        <v>1062080.9889805538</v>
      </c>
      <c r="O23" s="144">
        <f>Productivity!O26</f>
        <v>1068127.2616737161</v>
      </c>
      <c r="P23" s="144">
        <f>Productivity!P26</f>
        <v>1127052.9963850786</v>
      </c>
      <c r="Q23" s="144">
        <f>Productivity!Q26</f>
        <v>973492.02061373321</v>
      </c>
      <c r="R23" s="144">
        <f>Productivity!R26</f>
        <v>884706.56519629457</v>
      </c>
      <c r="S23" s="144">
        <f>Productivity!S26</f>
        <v>830823.50215223012</v>
      </c>
      <c r="T23" s="144">
        <f>Productivity!T26</f>
        <v>893883.8213278997</v>
      </c>
      <c r="U23" s="144">
        <f>Productivity!U26</f>
        <v>792129.31465696509</v>
      </c>
      <c r="V23" s="144">
        <f>Productivity!V26</f>
        <v>821334.69114589877</v>
      </c>
      <c r="W23" s="211">
        <f>Productivity!W26</f>
        <v>871003.8763686053</v>
      </c>
      <c r="X23" s="133"/>
      <c r="Y23" s="133"/>
    </row>
    <row r="24" spans="1:25" ht="17.45" customHeight="1">
      <c r="A24" s="129" t="str">
        <f>Productivity!A27</f>
        <v>Cows</v>
      </c>
      <c r="B24" s="144">
        <f>Productivity!B27</f>
        <v>646146.09827628115</v>
      </c>
      <c r="C24" s="144">
        <f>Productivity!C27</f>
        <v>624804.37214660621</v>
      </c>
      <c r="D24" s="144">
        <f>Productivity!D27</f>
        <v>550884.79460099433</v>
      </c>
      <c r="E24" s="144">
        <f>Productivity!E27</f>
        <v>531961.95463930361</v>
      </c>
      <c r="F24" s="144">
        <f>Productivity!F27</f>
        <v>482347.05962497095</v>
      </c>
      <c r="G24" s="144">
        <f>Productivity!G27</f>
        <v>500234.84934672277</v>
      </c>
      <c r="H24" s="144">
        <f>Productivity!H27</f>
        <v>523286.37695971818</v>
      </c>
      <c r="I24" s="144">
        <f>Productivity!I27</f>
        <v>351448.7486433803</v>
      </c>
      <c r="J24" s="144">
        <f>Productivity!J27</f>
        <v>434338.18848929269</v>
      </c>
      <c r="K24" s="144">
        <f>Productivity!K27</f>
        <v>585999.55755113042</v>
      </c>
      <c r="L24" s="144">
        <f>Productivity!L27</f>
        <v>723599.13427046093</v>
      </c>
      <c r="M24" s="144">
        <f>Productivity!M27</f>
        <v>732062.61770915322</v>
      </c>
      <c r="N24" s="144">
        <f>Productivity!N27</f>
        <v>802209.47219323122</v>
      </c>
      <c r="O24" s="144">
        <f>Productivity!O27</f>
        <v>644337.59205763298</v>
      </c>
      <c r="P24" s="144">
        <f>Productivity!P27</f>
        <v>607984.07487139071</v>
      </c>
      <c r="Q24" s="144">
        <f>Productivity!Q27</f>
        <v>530355.94967793417</v>
      </c>
      <c r="R24" s="144">
        <f>Productivity!R27</f>
        <v>439378.56219838513</v>
      </c>
      <c r="S24" s="144">
        <f>Productivity!S27</f>
        <v>485580.12689224153</v>
      </c>
      <c r="T24" s="144">
        <f>Productivity!T27</f>
        <v>434506.63029704854</v>
      </c>
      <c r="U24" s="144">
        <f>Productivity!U27</f>
        <v>374252.34544568392</v>
      </c>
      <c r="V24" s="144">
        <f>Productivity!V27</f>
        <v>413862.89011676388</v>
      </c>
      <c r="W24" s="211">
        <f>Productivity!W27</f>
        <v>543820.14767241816</v>
      </c>
      <c r="X24" s="133"/>
      <c r="Y24" s="133"/>
    </row>
    <row r="25" spans="1:25" ht="17.45" customHeight="1">
      <c r="A25" s="129" t="str">
        <f>Productivity!A28</f>
        <v>Bulls</v>
      </c>
      <c r="B25" s="144">
        <f>Productivity!B28</f>
        <v>0</v>
      </c>
      <c r="C25" s="144">
        <f>Productivity!C28</f>
        <v>26333.38187974424</v>
      </c>
      <c r="D25" s="144">
        <f>Productivity!D28</f>
        <v>24496.233497356745</v>
      </c>
      <c r="E25" s="144">
        <f>Productivity!E28</f>
        <v>29497.634109624476</v>
      </c>
      <c r="F25" s="144">
        <f>Productivity!F28</f>
        <v>19001.560366904014</v>
      </c>
      <c r="G25" s="144">
        <f>Productivity!G28</f>
        <v>12660.366612786311</v>
      </c>
      <c r="H25" s="144">
        <f>Productivity!H28</f>
        <v>10363.555495580513</v>
      </c>
      <c r="I25" s="144">
        <f>Productivity!I28</f>
        <v>15557.209413512735</v>
      </c>
      <c r="J25" s="144">
        <f>Productivity!J28</f>
        <v>35215.946172159995</v>
      </c>
      <c r="K25" s="144">
        <f>Productivity!K28</f>
        <v>50510.809956357029</v>
      </c>
      <c r="L25" s="144">
        <f>Productivity!L28</f>
        <v>47524.181635471796</v>
      </c>
      <c r="M25" s="144">
        <f>Productivity!M28</f>
        <v>48763.031497158277</v>
      </c>
      <c r="N25" s="144">
        <f>Productivity!N28</f>
        <v>21785.060343269768</v>
      </c>
      <c r="O25" s="144">
        <f>Productivity!O28</f>
        <v>17092.413220734117</v>
      </c>
      <c r="P25" s="144">
        <f>Productivity!P28</f>
        <v>31069.129867722848</v>
      </c>
      <c r="Q25" s="144">
        <f>Productivity!Q28</f>
        <v>26702.338312176624</v>
      </c>
      <c r="R25" s="144">
        <f>Productivity!R28</f>
        <v>14725.505245383936</v>
      </c>
      <c r="S25" s="144">
        <f>Productivity!S28</f>
        <v>5205.1875050760145</v>
      </c>
      <c r="T25" s="144">
        <f>Productivity!T28</f>
        <v>6739.1333594236976</v>
      </c>
      <c r="U25" s="144">
        <f>Productivity!U28</f>
        <v>11003.300090208075</v>
      </c>
      <c r="V25" s="144">
        <f>Productivity!V28</f>
        <v>14317.898474946027</v>
      </c>
      <c r="W25" s="211">
        <f>Productivity!W28</f>
        <v>14265.396126973012</v>
      </c>
      <c r="X25" s="133"/>
      <c r="Y25" s="133"/>
    </row>
    <row r="26" spans="1:25" ht="17.45" customHeight="1">
      <c r="A26" s="140" t="str">
        <f>Productivity!A29</f>
        <v>TOTAL SLAUGHTER (CHECK)</v>
      </c>
      <c r="B26" s="145">
        <f>Productivity!B29</f>
        <v>3020131</v>
      </c>
      <c r="C26" s="145">
        <f>Productivity!C29</f>
        <v>3177898</v>
      </c>
      <c r="D26" s="145">
        <f>Productivity!D29</f>
        <v>3210581.9999999995</v>
      </c>
      <c r="E26" s="145">
        <f>Productivity!E29</f>
        <v>3502244</v>
      </c>
      <c r="F26" s="145">
        <f>Productivity!F29</f>
        <v>3417611</v>
      </c>
      <c r="G26" s="145">
        <f>Productivity!G29</f>
        <v>3375606.0000000005</v>
      </c>
      <c r="H26" s="145">
        <f>Productivity!H29</f>
        <v>3472068.0000000005</v>
      </c>
      <c r="I26" s="145">
        <f>Productivity!I29</f>
        <v>3108705.9999999995</v>
      </c>
      <c r="J26" s="145">
        <f>Productivity!J29</f>
        <v>3911493</v>
      </c>
      <c r="K26" s="145">
        <f>Productivity!K29</f>
        <v>3933979</v>
      </c>
      <c r="L26" s="145">
        <f>Productivity!L29</f>
        <v>3548912</v>
      </c>
      <c r="M26" s="145">
        <f>Productivity!M29</f>
        <v>3421695</v>
      </c>
      <c r="N26" s="145">
        <f>Productivity!N29</f>
        <v>3476511</v>
      </c>
      <c r="O26" s="145">
        <f>Productivity!O29</f>
        <v>3355037</v>
      </c>
      <c r="P26" s="145">
        <f>Productivity!P29</f>
        <v>3404840</v>
      </c>
      <c r="Q26" s="145">
        <f>Productivity!Q29</f>
        <v>3057649.9999999995</v>
      </c>
      <c r="R26" s="145">
        <f>Productivity!R29</f>
        <v>2782038</v>
      </c>
      <c r="S26" s="145">
        <f>Productivity!S29</f>
        <v>2752352.0000000005</v>
      </c>
      <c r="T26" s="145">
        <f>Productivity!T29</f>
        <v>2832982</v>
      </c>
      <c r="U26" s="145">
        <f>Productivity!U29</f>
        <v>2672805.0000000005</v>
      </c>
      <c r="V26" s="145">
        <f>Productivity!V29</f>
        <v>2797906</v>
      </c>
      <c r="W26" s="145">
        <f>Productivity!W29</f>
        <v>2758413</v>
      </c>
      <c r="X26" s="133"/>
      <c r="Y26" s="133"/>
    </row>
    <row r="27" spans="1:25" ht="17.45" customHeight="1">
      <c r="B27" s="133"/>
      <c r="C27" s="133"/>
      <c r="D27" s="133"/>
      <c r="E27" s="133"/>
      <c r="F27" s="133"/>
      <c r="G27" s="133"/>
      <c r="H27" s="133"/>
      <c r="I27" s="133"/>
      <c r="J27" s="133"/>
      <c r="K27" s="133"/>
      <c r="L27" s="133"/>
      <c r="M27" s="133"/>
      <c r="N27" s="133"/>
      <c r="O27" s="133"/>
      <c r="P27" s="133"/>
      <c r="Q27" s="133"/>
      <c r="R27" s="133"/>
      <c r="S27" s="133"/>
      <c r="T27" s="133"/>
      <c r="U27" s="133"/>
      <c r="V27" s="133"/>
      <c r="W27" s="254"/>
      <c r="X27" s="133"/>
      <c r="Y27" s="133"/>
    </row>
    <row r="28" spans="1:25" ht="17.45" customHeight="1">
      <c r="A28" s="143" t="s">
        <v>112</v>
      </c>
      <c r="W28" s="156"/>
    </row>
    <row r="29" spans="1:25" ht="17.45" customHeight="1">
      <c r="A29" s="129" t="str">
        <f>Productivity!A32</f>
        <v>Steers</v>
      </c>
      <c r="B29" s="146">
        <f>Productivity!B32*0.73</f>
        <v>250.33112582781453</v>
      </c>
      <c r="C29" s="146">
        <f>Productivity!C32*0.73</f>
        <v>253.31125827814566</v>
      </c>
      <c r="D29" s="146">
        <f>Productivity!D32*0.73</f>
        <v>261.92052980132451</v>
      </c>
      <c r="E29" s="146">
        <f>Productivity!E32*0.73</f>
        <v>263.57615894039731</v>
      </c>
      <c r="F29" s="146">
        <f>Productivity!F32*0.73</f>
        <v>269.205298013245</v>
      </c>
      <c r="G29" s="146">
        <f>Productivity!G32*0.73</f>
        <v>271.85430463576159</v>
      </c>
      <c r="H29" s="146">
        <f>Productivity!H32*0.73</f>
        <v>275.49668874172181</v>
      </c>
      <c r="I29" s="146">
        <f>Productivity!I32*0.73</f>
        <v>276.49006622516555</v>
      </c>
      <c r="J29" s="146">
        <f>Productivity!J32*0.73</f>
        <v>276.15894039735099</v>
      </c>
      <c r="K29" s="146">
        <f>Productivity!K32*0.73</f>
        <v>273.84105960264895</v>
      </c>
      <c r="L29" s="146">
        <f>Productivity!L32*0.73</f>
        <v>278.47682119205297</v>
      </c>
      <c r="M29" s="146">
        <f>Productivity!M32*0.73</f>
        <v>278.13</v>
      </c>
      <c r="N29" s="146">
        <f>Productivity!N32*0.73</f>
        <v>278.80794701986753</v>
      </c>
      <c r="O29" s="146">
        <f>Productivity!O32*0.73</f>
        <v>280.13245033112582</v>
      </c>
      <c r="P29" s="146">
        <f>Productivity!P32*0.73</f>
        <v>281.1258278145695</v>
      </c>
      <c r="Q29" s="146">
        <f>Productivity!Q32*0.73</f>
        <v>283.44370860927148</v>
      </c>
      <c r="R29" s="146">
        <f>Productivity!R32*0.73</f>
        <v>290.72847682119203</v>
      </c>
      <c r="S29" s="146">
        <f>Productivity!S32*0.73</f>
        <v>289.40397350993373</v>
      </c>
      <c r="T29" s="146">
        <f>Productivity!T32*0.73</f>
        <v>285</v>
      </c>
      <c r="U29" s="146">
        <f>Productivity!U32*0.73</f>
        <v>296</v>
      </c>
      <c r="V29" s="146">
        <f>Productivity!V32*0.73</f>
        <v>304.3046357615894</v>
      </c>
      <c r="W29" s="214">
        <f>Productivity!W32*0.73</f>
        <v>302.95</v>
      </c>
      <c r="X29" s="147"/>
    </row>
    <row r="30" spans="1:25" ht="17.45" customHeight="1">
      <c r="A30" s="129" t="str">
        <f>Productivity!A33</f>
        <v>Heifers</v>
      </c>
      <c r="B30" s="146">
        <f>Productivity!B33*0.73</f>
        <v>227.15231788079467</v>
      </c>
      <c r="C30" s="146">
        <f>Productivity!C33*0.73</f>
        <v>232.11920529801324</v>
      </c>
      <c r="D30" s="146">
        <f>Productivity!D33*0.73</f>
        <v>242.0529801324503</v>
      </c>
      <c r="E30" s="146">
        <f>Productivity!E33*0.73</f>
        <v>245.03311258278146</v>
      </c>
      <c r="F30" s="146">
        <f>Productivity!F33*0.73</f>
        <v>252.31788079470198</v>
      </c>
      <c r="G30" s="146">
        <f>Productivity!G33*0.73</f>
        <v>254.96688741721852</v>
      </c>
      <c r="H30" s="146">
        <f>Productivity!H33*0.73</f>
        <v>257.28476821192049</v>
      </c>
      <c r="I30" s="146">
        <f>Productivity!I33*0.73</f>
        <v>258.60927152317879</v>
      </c>
      <c r="J30" s="146">
        <f>Productivity!J33*0.73</f>
        <v>257.94701986754961</v>
      </c>
      <c r="K30" s="146">
        <f>Productivity!K33*0.73</f>
        <v>255.62913907284766</v>
      </c>
      <c r="L30" s="146">
        <f>Productivity!L33*0.73</f>
        <v>257.94701986754961</v>
      </c>
      <c r="M30" s="146">
        <f>Productivity!M33*0.73</f>
        <v>259.27152317880791</v>
      </c>
      <c r="N30" s="146">
        <f>Productivity!N33*0.73</f>
        <v>261.33999999999997</v>
      </c>
      <c r="O30" s="146">
        <f>Productivity!O33*0.73</f>
        <v>260.59602649006621</v>
      </c>
      <c r="P30" s="146">
        <f>Productivity!P33*0.73</f>
        <v>260.26490066225165</v>
      </c>
      <c r="Q30" s="146">
        <f>Productivity!Q33*0.73</f>
        <v>259.60264900662247</v>
      </c>
      <c r="R30" s="146">
        <f>Productivity!R33*0.73</f>
        <v>271.19205298013242</v>
      </c>
      <c r="S30" s="146">
        <f>Productivity!S33*0.73</f>
        <v>268.87417218543044</v>
      </c>
      <c r="T30" s="146">
        <f>Productivity!T33*0.73</f>
        <v>263</v>
      </c>
      <c r="U30" s="146">
        <f>Productivity!U33*0.73</f>
        <v>273</v>
      </c>
      <c r="V30" s="146">
        <f>Productivity!V33*0.73</f>
        <v>278.47682119205297</v>
      </c>
      <c r="W30" s="214">
        <f>Productivity!W33*0.73</f>
        <v>274.48</v>
      </c>
      <c r="X30" s="147"/>
    </row>
    <row r="31" spans="1:25" ht="17.45" customHeight="1">
      <c r="A31" s="129" t="str">
        <f>Productivity!A34</f>
        <v>Cows</v>
      </c>
      <c r="B31" s="146">
        <f>Productivity!B34*0.73</f>
        <v>200.99337748344368</v>
      </c>
      <c r="C31" s="146">
        <f>Productivity!C34*0.73</f>
        <v>202.98013245033113</v>
      </c>
      <c r="D31" s="146">
        <f>Productivity!D34*0.73</f>
        <v>210.92715231788077</v>
      </c>
      <c r="E31" s="146">
        <f>Productivity!E34*0.73</f>
        <v>216.55629139072846</v>
      </c>
      <c r="F31" s="146">
        <f>Productivity!F34*0.73</f>
        <v>226.49006622516555</v>
      </c>
      <c r="G31" s="146">
        <f>Productivity!G34*0.73</f>
        <v>229.80132450331124</v>
      </c>
      <c r="H31" s="146">
        <f>Productivity!H34*0.73</f>
        <v>233.11258278145692</v>
      </c>
      <c r="I31" s="146">
        <f>Productivity!I34*0.73</f>
        <v>232.4503311258278</v>
      </c>
      <c r="J31" s="146">
        <f>Productivity!J34*0.73</f>
        <v>218.21192052980129</v>
      </c>
      <c r="K31" s="146">
        <f>Productivity!K34*0.73</f>
        <v>219.53642384105959</v>
      </c>
      <c r="L31" s="146">
        <f>Productivity!L34*0.73</f>
        <v>222.18543046357615</v>
      </c>
      <c r="M31" s="146">
        <f>Productivity!M34*0.73</f>
        <v>222.84768211920527</v>
      </c>
      <c r="N31" s="146">
        <f>Productivity!N34*0.73</f>
        <v>224.84</v>
      </c>
      <c r="O31" s="146">
        <f>Productivity!O34*0.73</f>
        <v>223.17880794701986</v>
      </c>
      <c r="P31" s="146">
        <f>Productivity!P34*0.73</f>
        <v>222.51655629139071</v>
      </c>
      <c r="Q31" s="146">
        <f>Productivity!Q34*0.73</f>
        <v>221.52317880794698</v>
      </c>
      <c r="R31" s="146">
        <f>Productivity!R34*0.73</f>
        <v>223.84105960264898</v>
      </c>
      <c r="S31" s="146">
        <f>Productivity!S34*0.73</f>
        <v>221.85430463576159</v>
      </c>
      <c r="T31" s="146">
        <f>Productivity!T34*0.73</f>
        <v>226</v>
      </c>
      <c r="U31" s="146">
        <f>Productivity!U34*0.73</f>
        <v>240.00000000000003</v>
      </c>
      <c r="V31" s="146">
        <f>Productivity!V34*0.73</f>
        <v>247.35099337748343</v>
      </c>
      <c r="W31" s="214">
        <f>Productivity!W34*0.73</f>
        <v>244.54999999999998</v>
      </c>
      <c r="X31" s="147"/>
    </row>
    <row r="32" spans="1:25" ht="17.45" customHeight="1">
      <c r="A32" s="129" t="str">
        <f>Productivity!A35</f>
        <v>Bulls</v>
      </c>
      <c r="B32" s="146">
        <f>Productivity!B35*0.73</f>
        <v>279.80132450331121</v>
      </c>
      <c r="C32" s="146">
        <f>Productivity!C35*0.73</f>
        <v>272.51655629139071</v>
      </c>
      <c r="D32" s="146">
        <f>Productivity!D35*0.73</f>
        <v>292.38410596026489</v>
      </c>
      <c r="E32" s="146">
        <f>Productivity!E35*0.73</f>
        <v>300.66225165562912</v>
      </c>
      <c r="F32" s="146">
        <f>Productivity!F35*0.73</f>
        <v>304.96688741721852</v>
      </c>
      <c r="G32" s="146">
        <f>Productivity!G35*0.73</f>
        <v>301.98675496688736</v>
      </c>
      <c r="H32" s="146">
        <f>Productivity!H35*0.73</f>
        <v>302.31788079470198</v>
      </c>
      <c r="I32" s="146">
        <f>Productivity!I35*0.73</f>
        <v>326.49006622516555</v>
      </c>
      <c r="J32" s="146">
        <f>Productivity!J35*0.73</f>
        <v>336.09271523178808</v>
      </c>
      <c r="K32" s="146">
        <f>Productivity!K35*0.73</f>
        <v>343.70860927152313</v>
      </c>
      <c r="L32" s="146">
        <f>Productivity!L35*0.73</f>
        <v>340.39735099337747</v>
      </c>
      <c r="M32" s="146">
        <f>Productivity!M35*0.73</f>
        <v>338.07947019867544</v>
      </c>
      <c r="N32" s="146">
        <f>Productivity!N35*0.73</f>
        <v>331.42</v>
      </c>
      <c r="O32" s="146">
        <f>Productivity!O35*0.73</f>
        <v>315.56291390728478</v>
      </c>
      <c r="P32" s="146">
        <f>Productivity!P35*0.73</f>
        <v>334.43708609271522</v>
      </c>
      <c r="Q32" s="146">
        <f>Productivity!Q35*0.73</f>
        <v>329.80132450331121</v>
      </c>
      <c r="R32" s="146">
        <f>Productivity!R35*0.73</f>
        <v>330.13245033112582</v>
      </c>
      <c r="S32" s="146">
        <f>Productivity!S35*0.73</f>
        <v>287.74834437086093</v>
      </c>
      <c r="T32" s="146">
        <f>Productivity!T35*0.73</f>
        <v>307</v>
      </c>
      <c r="U32" s="146">
        <f>Productivity!U35*0.73</f>
        <v>332</v>
      </c>
      <c r="V32" s="146">
        <f>Productivity!V35*0.73</f>
        <v>336.42384105960264</v>
      </c>
      <c r="W32" s="214">
        <f>Productivity!W35*0.73</f>
        <v>347.48</v>
      </c>
      <c r="X32" s="147"/>
    </row>
    <row r="33" spans="1:24" ht="17.45" customHeight="1">
      <c r="A33" s="140" t="str">
        <f>Productivity!A36</f>
        <v>WEIGHTED AVERAGE</v>
      </c>
      <c r="B33" s="148">
        <f>Productivity!B36*0.73</f>
        <v>233.16349378729521</v>
      </c>
      <c r="C33" s="148">
        <f>Productivity!C36*0.73</f>
        <v>237.07414828351216</v>
      </c>
      <c r="D33" s="148">
        <f>Productivity!D36*0.73</f>
        <v>246.86228130645921</v>
      </c>
      <c r="E33" s="148">
        <f>Productivity!E36*0.73</f>
        <v>250.30648915508937</v>
      </c>
      <c r="F33" s="148">
        <f>Productivity!F36*0.73</f>
        <v>257.60346549512883</v>
      </c>
      <c r="G33" s="148">
        <f>Productivity!G36*0.73</f>
        <v>259.96164214193072</v>
      </c>
      <c r="H33" s="148">
        <f>Productivity!H36*0.73</f>
        <v>263.02399973324117</v>
      </c>
      <c r="I33" s="148">
        <f>Productivity!I36*0.73</f>
        <v>265.73038562458561</v>
      </c>
      <c r="J33" s="148">
        <f>Productivity!J36*0.73</f>
        <v>263.68168116729208</v>
      </c>
      <c r="K33" s="148">
        <f>Productivity!K36*0.73</f>
        <v>260.40329186452971</v>
      </c>
      <c r="L33" s="148">
        <f>Productivity!L36*0.73</f>
        <v>261.23909115722074</v>
      </c>
      <c r="M33" s="148">
        <f>Productivity!M36*0.73</f>
        <v>261.20503214418551</v>
      </c>
      <c r="N33" s="148">
        <f>Productivity!N36*0.73</f>
        <v>261.34796602411478</v>
      </c>
      <c r="O33" s="148">
        <f>Productivity!O36*0.73</f>
        <v>263.15524037222264</v>
      </c>
      <c r="P33" s="148">
        <f>Productivity!P36*0.73</f>
        <v>264.24146914472266</v>
      </c>
      <c r="Q33" s="148">
        <f>Productivity!Q36*0.73</f>
        <v>265.51780278926299</v>
      </c>
      <c r="R33" s="148">
        <f>Productivity!R36*0.73</f>
        <v>274.16053050964626</v>
      </c>
      <c r="S33" s="148">
        <f>Productivity!S36*0.73</f>
        <v>271.28636497785993</v>
      </c>
      <c r="T33" s="148">
        <f>Productivity!T36*0.73</f>
        <v>269.06164447115009</v>
      </c>
      <c r="U33" s="148">
        <f>Productivity!U36*0.73</f>
        <v>281.4905289466231</v>
      </c>
      <c r="V33" s="148">
        <f>Productivity!V36*0.73</f>
        <v>288.4626454939916</v>
      </c>
      <c r="W33" s="215">
        <f>Productivity!W36*0.73</f>
        <v>282.67698834628845</v>
      </c>
      <c r="X33" s="147"/>
    </row>
    <row r="34" spans="1:24" ht="17.45" customHeight="1">
      <c r="B34" s="147"/>
      <c r="C34" s="147"/>
      <c r="D34" s="147"/>
      <c r="E34" s="147"/>
      <c r="F34" s="147"/>
      <c r="G34" s="147"/>
      <c r="H34" s="147"/>
      <c r="I34" s="147"/>
      <c r="J34" s="147"/>
      <c r="K34" s="147"/>
      <c r="L34" s="147"/>
      <c r="M34" s="147"/>
      <c r="N34" s="147"/>
      <c r="O34" s="147"/>
      <c r="P34" s="147"/>
      <c r="Q34" s="147"/>
      <c r="R34" s="147"/>
      <c r="S34" s="147"/>
      <c r="T34" s="147"/>
      <c r="U34" s="147"/>
      <c r="V34" s="147"/>
      <c r="W34" s="253"/>
      <c r="X34" s="147"/>
    </row>
    <row r="35" spans="1:24" ht="17.45" customHeight="1">
      <c r="A35" s="143" t="s">
        <v>97</v>
      </c>
      <c r="B35" s="147"/>
      <c r="C35" s="147"/>
      <c r="D35" s="147"/>
      <c r="E35" s="147"/>
      <c r="F35" s="147"/>
      <c r="G35" s="147"/>
      <c r="H35" s="147"/>
      <c r="I35" s="147"/>
      <c r="J35" s="147"/>
      <c r="K35" s="147"/>
      <c r="L35" s="147"/>
      <c r="M35" s="147"/>
      <c r="N35" s="147"/>
      <c r="O35" s="147"/>
      <c r="P35" s="147"/>
      <c r="Q35" s="147"/>
      <c r="R35" s="147"/>
      <c r="S35" s="147"/>
      <c r="T35" s="147"/>
      <c r="U35" s="147"/>
      <c r="V35" s="147"/>
      <c r="W35" s="253"/>
      <c r="X35" s="147"/>
    </row>
    <row r="36" spans="1:24" ht="17.45" customHeight="1">
      <c r="A36" s="129" t="str">
        <f>Productivity!A39</f>
        <v>Steers</v>
      </c>
      <c r="B36" s="146">
        <f>B22*B29/1000000</f>
        <v>378.61598852422787</v>
      </c>
      <c r="C36" s="146">
        <f t="shared" ref="C36:Q36" si="1">C22*C29/1000000</f>
        <v>393.12303681556671</v>
      </c>
      <c r="D36" s="146">
        <f t="shared" si="1"/>
        <v>413.35653541231648</v>
      </c>
      <c r="E36" s="146">
        <f t="shared" si="1"/>
        <v>454.52039126392287</v>
      </c>
      <c r="F36" s="146">
        <f t="shared" si="1"/>
        <v>470.60950635859359</v>
      </c>
      <c r="G36" s="146">
        <f t="shared" si="1"/>
        <v>464.48842601141729</v>
      </c>
      <c r="H36" s="146">
        <f t="shared" si="1"/>
        <v>485.72574919132217</v>
      </c>
      <c r="I36" s="146">
        <f t="shared" si="1"/>
        <v>468.14029546924337</v>
      </c>
      <c r="J36" s="146">
        <f t="shared" si="1"/>
        <v>560.10809186024926</v>
      </c>
      <c r="K36" s="146">
        <f t="shared" si="1"/>
        <v>533.5317814466772</v>
      </c>
      <c r="L36" s="146">
        <f t="shared" si="1"/>
        <v>456.33666385758539</v>
      </c>
      <c r="M36" s="146">
        <f t="shared" si="1"/>
        <v>434.15228267002664</v>
      </c>
      <c r="N36" s="146">
        <f t="shared" si="1"/>
        <v>443.42605062339067</v>
      </c>
      <c r="O36" s="146">
        <f t="shared" si="1"/>
        <v>455.34962058229723</v>
      </c>
      <c r="P36" s="146">
        <f t="shared" si="1"/>
        <v>460.6903957766757</v>
      </c>
      <c r="Q36" s="146">
        <f t="shared" si="1"/>
        <v>432.84679994540039</v>
      </c>
      <c r="R36" s="146">
        <f>Productivity!R39*0.73</f>
        <v>419.58729421921333</v>
      </c>
      <c r="S36" s="146">
        <f>Productivity!S39*0.73</f>
        <v>414.06276236281298</v>
      </c>
      <c r="T36" s="146">
        <f>Productivity!T39*0.73</f>
        <v>426.88793827945392</v>
      </c>
      <c r="U36" s="146">
        <f>Productivity!U39*0.73</f>
        <v>442.64433178291432</v>
      </c>
      <c r="V36" s="146">
        <f>Productivity!V39*0.73</f>
        <v>471.18241328514489</v>
      </c>
      <c r="W36" s="214">
        <f>Productivity!W39*0.73</f>
        <v>402.71857851010554</v>
      </c>
      <c r="X36" s="147"/>
    </row>
    <row r="37" spans="1:24" ht="17.45" customHeight="1">
      <c r="A37" s="129" t="str">
        <f>Productivity!A40</f>
        <v>Heifers</v>
      </c>
      <c r="B37" s="146">
        <f t="shared" ref="B37:Q40" si="2">B23*B30/1000000</f>
        <v>195.69722049079095</v>
      </c>
      <c r="C37" s="146">
        <f t="shared" si="2"/>
        <v>226.27526810707175</v>
      </c>
      <c r="D37" s="146">
        <f t="shared" si="2"/>
        <v>255.85619111821111</v>
      </c>
      <c r="E37" s="146">
        <f t="shared" si="2"/>
        <v>298.04547539298994</v>
      </c>
      <c r="F37" s="146">
        <f t="shared" si="2"/>
        <v>294.73726675654046</v>
      </c>
      <c r="G37" s="146">
        <f t="shared" si="2"/>
        <v>294.26175900005944</v>
      </c>
      <c r="H37" s="146">
        <f t="shared" si="2"/>
        <v>302.39373651211974</v>
      </c>
      <c r="I37" s="146">
        <f t="shared" si="2"/>
        <v>271.16369637661148</v>
      </c>
      <c r="J37" s="146">
        <f t="shared" si="2"/>
        <v>364.66736501570426</v>
      </c>
      <c r="K37" s="146">
        <f t="shared" si="2"/>
        <v>344.88005279875728</v>
      </c>
      <c r="L37" s="146">
        <f t="shared" si="2"/>
        <v>293.8275909515732</v>
      </c>
      <c r="M37" s="146">
        <f t="shared" si="2"/>
        <v>279.98743241612885</v>
      </c>
      <c r="N37" s="146">
        <f t="shared" si="2"/>
        <v>277.5642456601779</v>
      </c>
      <c r="O37" s="146">
        <f t="shared" si="2"/>
        <v>278.34972017788562</v>
      </c>
      <c r="P37" s="146">
        <f t="shared" si="2"/>
        <v>293.33233614525557</v>
      </c>
      <c r="Q37" s="146">
        <f t="shared" si="2"/>
        <v>252.72110733813469</v>
      </c>
      <c r="R37" s="146">
        <f>Productivity!R40*0.73</f>
        <v>239.92538970058453</v>
      </c>
      <c r="S37" s="146">
        <f>Productivity!S40*0.73</f>
        <v>223.38698137338108</v>
      </c>
      <c r="T37" s="146">
        <f>Productivity!T40*0.73</f>
        <v>235.09144500923759</v>
      </c>
      <c r="U37" s="146">
        <f>Productivity!U40*0.73</f>
        <v>216.25130290135149</v>
      </c>
      <c r="V37" s="146">
        <f>Productivity!V40*0.73</f>
        <v>228.72267392506652</v>
      </c>
      <c r="W37" s="214">
        <f>Productivity!W40*0.73</f>
        <v>239.07314398565475</v>
      </c>
      <c r="X37" s="147"/>
    </row>
    <row r="38" spans="1:24" ht="17.45" customHeight="1">
      <c r="A38" s="129" t="str">
        <f>Productivity!A41</f>
        <v>Cows</v>
      </c>
      <c r="B38" s="146">
        <f t="shared" si="2"/>
        <v>129.87108664029887</v>
      </c>
      <c r="C38" s="146">
        <f t="shared" si="2"/>
        <v>126.8228742138641</v>
      </c>
      <c r="D38" s="146">
        <f t="shared" si="2"/>
        <v>116.19656098040838</v>
      </c>
      <c r="E38" s="146">
        <f t="shared" si="2"/>
        <v>115.19970805765051</v>
      </c>
      <c r="F38" s="146">
        <f t="shared" si="2"/>
        <v>109.24681747797355</v>
      </c>
      <c r="G38" s="146">
        <f t="shared" si="2"/>
        <v>114.95463094259125</v>
      </c>
      <c r="H38" s="146">
        <f t="shared" si="2"/>
        <v>121.98463886743097</v>
      </c>
      <c r="I38" s="146">
        <f t="shared" si="2"/>
        <v>81.694377995911566</v>
      </c>
      <c r="J38" s="146">
        <f t="shared" si="2"/>
        <v>94.777770269683387</v>
      </c>
      <c r="K38" s="146">
        <f t="shared" si="2"/>
        <v>128.64824723721836</v>
      </c>
      <c r="L38" s="146">
        <f t="shared" si="2"/>
        <v>160.77318513095341</v>
      </c>
      <c r="M38" s="146">
        <f t="shared" si="2"/>
        <v>163.13845752260266</v>
      </c>
      <c r="N38" s="146">
        <f t="shared" si="2"/>
        <v>180.3687777279261</v>
      </c>
      <c r="O38" s="146">
        <f t="shared" si="2"/>
        <v>143.80249571087569</v>
      </c>
      <c r="P38" s="146">
        <f t="shared" si="2"/>
        <v>135.28652262038892</v>
      </c>
      <c r="Q38" s="146">
        <f t="shared" si="2"/>
        <v>117.48613587236353</v>
      </c>
      <c r="R38" s="146">
        <f>Productivity!R41*0.73</f>
        <v>98.350962929174955</v>
      </c>
      <c r="S38" s="146">
        <f>Productivity!S41*0.73</f>
        <v>107.72804139662313</v>
      </c>
      <c r="T38" s="146">
        <f>Productivity!T41*0.73</f>
        <v>98.198498447132977</v>
      </c>
      <c r="U38" s="146">
        <f>Productivity!U41*0.73</f>
        <v>89.820562906964156</v>
      </c>
      <c r="V38" s="146">
        <f>Productivity!V41*0.73</f>
        <v>102.36939699245781</v>
      </c>
      <c r="W38" s="214">
        <f>Productivity!W41*0.73</f>
        <v>132.99121711328985</v>
      </c>
      <c r="X38" s="147"/>
    </row>
    <row r="39" spans="1:24" ht="17.45" customHeight="1">
      <c r="A39" s="129" t="str">
        <f>Productivity!A42</f>
        <v>Bulls</v>
      </c>
      <c r="B39" s="146">
        <f t="shared" si="2"/>
        <v>0</v>
      </c>
      <c r="C39" s="146">
        <f t="shared" si="2"/>
        <v>7.1762825453740096</v>
      </c>
      <c r="D39" s="146">
        <f t="shared" si="2"/>
        <v>7.1623093305185446</v>
      </c>
      <c r="E39" s="146">
        <f t="shared" si="2"/>
        <v>8.8688250899135834</v>
      </c>
      <c r="F39" s="146">
        <f t="shared" si="2"/>
        <v>5.7948467211650971</v>
      </c>
      <c r="G39" s="146">
        <f t="shared" si="2"/>
        <v>3.8232630300864616</v>
      </c>
      <c r="H39" s="146">
        <f t="shared" si="2"/>
        <v>3.1330881349221884</v>
      </c>
      <c r="I39" s="146">
        <f t="shared" si="2"/>
        <v>5.0792743316965421</v>
      </c>
      <c r="J39" s="146">
        <f t="shared" si="2"/>
        <v>11.835822968457748</v>
      </c>
      <c r="K39" s="146">
        <f t="shared" si="2"/>
        <v>17.361000243277676</v>
      </c>
      <c r="L39" s="146">
        <f t="shared" si="2"/>
        <v>16.177105536842717</v>
      </c>
      <c r="M39" s="146">
        <f t="shared" si="2"/>
        <v>16.485779853840594</v>
      </c>
      <c r="N39" s="146">
        <f t="shared" si="2"/>
        <v>7.2200046989664672</v>
      </c>
      <c r="O39" s="146">
        <f t="shared" si="2"/>
        <v>5.3937317216422569</v>
      </c>
      <c r="P39" s="146">
        <f t="shared" si="2"/>
        <v>10.390669260397377</v>
      </c>
      <c r="Q39" s="146">
        <f t="shared" si="2"/>
        <v>8.8064665426913606</v>
      </c>
      <c r="R39" s="146">
        <f>Productivity!R42*0.73</f>
        <v>4.8613671290224447</v>
      </c>
      <c r="S39" s="146">
        <f>Productivity!S42*0.73</f>
        <v>1.4977840867255154</v>
      </c>
      <c r="T39" s="146">
        <f>Productivity!T42*0.73</f>
        <v>2.0689139413430748</v>
      </c>
      <c r="U39" s="146">
        <f>Productivity!U42*0.73</f>
        <v>3.6530956299490809</v>
      </c>
      <c r="V39" s="146">
        <f>Productivity!V42*0.73</f>
        <v>4.8168824008427693</v>
      </c>
      <c r="W39" s="214">
        <f>Productivity!W42*0.73</f>
        <v>4.9569398462005827</v>
      </c>
      <c r="X39" s="147"/>
    </row>
    <row r="40" spans="1:24" ht="17.45" customHeight="1">
      <c r="A40" s="140" t="s">
        <v>9</v>
      </c>
      <c r="B40" s="148">
        <f t="shared" si="2"/>
        <v>704.18429565531767</v>
      </c>
      <c r="C40" s="148">
        <f t="shared" si="2"/>
        <v>753.39746168187673</v>
      </c>
      <c r="D40" s="148">
        <f t="shared" si="2"/>
        <v>792.57159684145427</v>
      </c>
      <c r="E40" s="148">
        <f t="shared" si="2"/>
        <v>876.63439980447686</v>
      </c>
      <c r="F40" s="148">
        <f t="shared" si="2"/>
        <v>880.38843731427278</v>
      </c>
      <c r="G40" s="148">
        <f t="shared" si="2"/>
        <v>877.52807898415438</v>
      </c>
      <c r="H40" s="148">
        <f t="shared" si="2"/>
        <v>913.23721270579529</v>
      </c>
      <c r="I40" s="148">
        <f t="shared" si="2"/>
        <v>826.07764417346289</v>
      </c>
      <c r="J40" s="148">
        <f t="shared" si="2"/>
        <v>1031.3890501140947</v>
      </c>
      <c r="K40" s="148">
        <f t="shared" si="2"/>
        <v>1024.4210817259307</v>
      </c>
      <c r="L40" s="148">
        <f t="shared" si="2"/>
        <v>927.11454547695462</v>
      </c>
      <c r="M40" s="148">
        <f t="shared" si="2"/>
        <v>893.76395246259881</v>
      </c>
      <c r="N40" s="148">
        <f t="shared" si="2"/>
        <v>908.5790787104612</v>
      </c>
      <c r="O40" s="148">
        <f t="shared" si="2"/>
        <v>882.89556819270069</v>
      </c>
      <c r="P40" s="148">
        <f t="shared" si="2"/>
        <v>899.69992380271742</v>
      </c>
      <c r="Q40" s="148">
        <f t="shared" si="2"/>
        <v>811.86050969858979</v>
      </c>
      <c r="R40" s="148">
        <f>Productivity!R43*0.73</f>
        <v>762.72501397799522</v>
      </c>
      <c r="S40" s="148">
        <f>Productivity!S43*0.73</f>
        <v>746.67556921954269</v>
      </c>
      <c r="T40" s="148">
        <f>Productivity!T43*0.73</f>
        <v>762.24679567716748</v>
      </c>
      <c r="U40" s="148">
        <f>Productivity!U43*0.73</f>
        <v>752.36929322117908</v>
      </c>
      <c r="V40" s="148">
        <f>Productivity!V43*0.73</f>
        <v>807.09136660351203</v>
      </c>
      <c r="W40" s="215">
        <f>Productivity!W43*0.73</f>
        <v>779.73987945525084</v>
      </c>
      <c r="X40" s="147"/>
    </row>
    <row r="41" spans="1:24" ht="17.45" customHeight="1">
      <c r="B41" s="147"/>
      <c r="C41" s="147"/>
      <c r="D41" s="147"/>
      <c r="E41" s="147"/>
      <c r="F41" s="147"/>
      <c r="G41" s="147"/>
      <c r="H41" s="147"/>
      <c r="I41" s="147"/>
      <c r="J41" s="147"/>
      <c r="K41" s="147"/>
      <c r="L41" s="147"/>
      <c r="M41" s="147"/>
      <c r="N41" s="147"/>
      <c r="O41" s="147"/>
      <c r="P41" s="147"/>
      <c r="Q41" s="147"/>
      <c r="R41" s="147"/>
      <c r="S41" s="147"/>
      <c r="T41" s="147"/>
      <c r="U41" s="147"/>
      <c r="V41" s="147"/>
      <c r="W41" s="253"/>
      <c r="X41" s="147"/>
    </row>
    <row r="42" spans="1:24" ht="32.1" customHeight="1">
      <c r="A42" s="138" t="s">
        <v>99</v>
      </c>
      <c r="W42" s="156"/>
    </row>
    <row r="43" spans="1:24" ht="17.45" customHeight="1">
      <c r="A43" s="129" t="str">
        <f>Productivity!A46</f>
        <v xml:space="preserve">Fed Steers </v>
      </c>
      <c r="B43" s="137">
        <f>Productivity!B46</f>
        <v>471754</v>
      </c>
      <c r="C43" s="137">
        <f>Productivity!C46</f>
        <v>393166</v>
      </c>
      <c r="D43" s="137">
        <f>Productivity!D46</f>
        <v>466888.69295670476</v>
      </c>
      <c r="E43" s="137">
        <f>Productivity!E46</f>
        <v>339448.66511869873</v>
      </c>
      <c r="F43" s="137">
        <f>Productivity!F46</f>
        <v>358961</v>
      </c>
      <c r="G43" s="137">
        <f>Productivity!G46</f>
        <v>424335</v>
      </c>
      <c r="H43" s="137">
        <f>Productivity!H46</f>
        <v>346237</v>
      </c>
      <c r="I43" s="137">
        <f>Productivity!I46</f>
        <v>106506</v>
      </c>
      <c r="J43" s="137">
        <f>Productivity!J46</f>
        <v>0</v>
      </c>
      <c r="K43" s="137">
        <f>Productivity!K46</f>
        <v>208041</v>
      </c>
      <c r="L43" s="137">
        <f>Productivity!L46</f>
        <v>388832</v>
      </c>
      <c r="M43" s="137">
        <f>Productivity!M46</f>
        <v>475661</v>
      </c>
      <c r="N43" s="137">
        <f>Productivity!N46</f>
        <v>358675</v>
      </c>
      <c r="O43" s="137">
        <f>Productivity!O46</f>
        <v>277738</v>
      </c>
      <c r="P43" s="137">
        <f>Productivity!P46</f>
        <v>368012</v>
      </c>
      <c r="Q43" s="137">
        <f>Productivity!Q46</f>
        <v>256493</v>
      </c>
      <c r="R43" s="137">
        <f>Productivity!R46</f>
        <v>247996</v>
      </c>
      <c r="S43" s="137">
        <f>Productivity!S46</f>
        <v>213921</v>
      </c>
      <c r="T43" s="137">
        <f>Productivity!T46</f>
        <v>231310</v>
      </c>
      <c r="U43" s="137">
        <f>Productivity!U46</f>
        <v>137502</v>
      </c>
      <c r="V43" s="137">
        <f>Productivity!V46</f>
        <v>177800</v>
      </c>
      <c r="W43" s="213">
        <v>190000</v>
      </c>
    </row>
    <row r="44" spans="1:24" ht="17.45" customHeight="1">
      <c r="A44" s="129" t="str">
        <f>Productivity!A47</f>
        <v xml:space="preserve">Fed Heifers </v>
      </c>
      <c r="B44" s="137">
        <f>Productivity!B47</f>
        <v>161.77357525174634</v>
      </c>
      <c r="C44" s="137">
        <f>Productivity!C47</f>
        <v>136.42927968792526</v>
      </c>
      <c r="D44" s="137">
        <f>Productivity!D47</f>
        <v>312711.30704329524</v>
      </c>
      <c r="E44" s="137">
        <f>Productivity!E47</f>
        <v>239433.33488130127</v>
      </c>
      <c r="F44" s="137">
        <f>Productivity!F47</f>
        <v>195182</v>
      </c>
      <c r="G44" s="137">
        <f>Productivity!G47</f>
        <v>285805</v>
      </c>
      <c r="H44" s="137">
        <f>Productivity!H47</f>
        <v>248399</v>
      </c>
      <c r="I44" s="137">
        <f>Productivity!I47</f>
        <v>94371</v>
      </c>
      <c r="J44" s="137">
        <f>Productivity!J47</f>
        <v>0</v>
      </c>
      <c r="K44" s="137">
        <f>Productivity!K47</f>
        <v>107883</v>
      </c>
      <c r="L44" s="137">
        <f>Productivity!L47</f>
        <v>314055</v>
      </c>
      <c r="M44" s="137">
        <f>Productivity!M47</f>
        <v>362834</v>
      </c>
      <c r="N44" s="137">
        <f>Productivity!N47</f>
        <v>302353</v>
      </c>
      <c r="O44" s="137">
        <f>Productivity!O47</f>
        <v>245756</v>
      </c>
      <c r="P44" s="137">
        <f>Productivity!P47</f>
        <v>252606</v>
      </c>
      <c r="Q44" s="137">
        <f>Productivity!Q47</f>
        <v>180337</v>
      </c>
      <c r="R44" s="137">
        <f>Productivity!R47</f>
        <v>183819</v>
      </c>
      <c r="S44" s="137">
        <f>Productivity!S47</f>
        <v>136846</v>
      </c>
      <c r="T44" s="137">
        <f>Productivity!T47</f>
        <v>172006</v>
      </c>
      <c r="U44" s="137">
        <f>Productivity!U47</f>
        <v>95287</v>
      </c>
      <c r="V44" s="137">
        <f>Productivity!V47</f>
        <v>152668</v>
      </c>
      <c r="W44" s="213">
        <v>125000</v>
      </c>
    </row>
    <row r="45" spans="1:24" ht="17.45" customHeight="1">
      <c r="A45" s="129" t="str">
        <f>Productivity!A48</f>
        <v>COWS AND BULLS</v>
      </c>
      <c r="B45" s="137">
        <f>Productivity!B48</f>
        <v>0</v>
      </c>
      <c r="C45" s="137">
        <f>Productivity!C48</f>
        <v>0</v>
      </c>
      <c r="D45" s="137">
        <f>Productivity!D48</f>
        <v>0</v>
      </c>
      <c r="E45" s="137">
        <f>Productivity!E48</f>
        <v>0</v>
      </c>
      <c r="F45" s="137">
        <f>Productivity!F48</f>
        <v>0</v>
      </c>
      <c r="G45" s="137">
        <f>Productivity!G48</f>
        <v>0</v>
      </c>
      <c r="H45" s="137">
        <f>Productivity!H48</f>
        <v>0</v>
      </c>
      <c r="I45" s="137">
        <f>Productivity!I48</f>
        <v>0</v>
      </c>
      <c r="J45" s="137">
        <f>Productivity!J48</f>
        <v>0</v>
      </c>
      <c r="K45" s="137">
        <f>Productivity!K48</f>
        <v>0</v>
      </c>
      <c r="L45" s="137">
        <f>Productivity!L48</f>
        <v>0</v>
      </c>
      <c r="M45" s="137">
        <f>Productivity!M48</f>
        <v>0</v>
      </c>
      <c r="N45" s="137">
        <f>Productivity!N48</f>
        <v>0</v>
      </c>
      <c r="O45" s="137">
        <f>Productivity!O48</f>
        <v>0</v>
      </c>
      <c r="P45" s="137">
        <f>Productivity!P48</f>
        <v>0</v>
      </c>
      <c r="Q45" s="137">
        <f>Productivity!Q48</f>
        <v>0</v>
      </c>
      <c r="R45" s="137">
        <f>Productivity!R48</f>
        <v>0</v>
      </c>
      <c r="S45" s="137">
        <f>Productivity!S48</f>
        <v>0</v>
      </c>
      <c r="T45" s="137">
        <f>Productivity!T48</f>
        <v>0</v>
      </c>
      <c r="U45" s="137">
        <f>Productivity!U48</f>
        <v>0</v>
      </c>
      <c r="V45" s="137">
        <f>Productivity!V48</f>
        <v>0</v>
      </c>
      <c r="W45" s="213"/>
    </row>
    <row r="46" spans="1:24" ht="17.45" customHeight="1">
      <c r="A46" s="129" t="str">
        <f>Productivity!A49</f>
        <v xml:space="preserve">Sl. Cows </v>
      </c>
      <c r="B46" s="137">
        <f>Productivity!B49</f>
        <v>0</v>
      </c>
      <c r="C46" s="137">
        <f>Productivity!C49</f>
        <v>0</v>
      </c>
      <c r="D46" s="137">
        <f>Productivity!D49</f>
        <v>-30164.964171986609</v>
      </c>
      <c r="E46" s="137">
        <f>Productivity!E49</f>
        <v>-23841.02682152369</v>
      </c>
      <c r="F46" s="137">
        <f>Productivity!F49</f>
        <v>171448</v>
      </c>
      <c r="G46" s="137">
        <f>Productivity!G49</f>
        <v>257584</v>
      </c>
      <c r="H46" s="137">
        <f>Productivity!H49</f>
        <v>372294</v>
      </c>
      <c r="I46" s="137">
        <f>Productivity!I49</f>
        <v>136161</v>
      </c>
      <c r="J46" s="137">
        <f>Productivity!J49</f>
        <v>0</v>
      </c>
      <c r="K46" s="137">
        <f>Productivity!K49</f>
        <v>2799</v>
      </c>
      <c r="L46" s="137">
        <f>Productivity!L49</f>
        <v>0</v>
      </c>
      <c r="M46" s="137">
        <f>Productivity!M49</f>
        <v>8469</v>
      </c>
      <c r="N46" s="137">
        <f>Productivity!N49</f>
        <v>186657</v>
      </c>
      <c r="O46" s="137">
        <f>Productivity!O49</f>
        <v>199433</v>
      </c>
      <c r="P46" s="137">
        <f>Productivity!P49</f>
        <v>182815</v>
      </c>
      <c r="Q46" s="137">
        <f>Productivity!Q49</f>
        <v>112425</v>
      </c>
      <c r="R46" s="137">
        <f>Productivity!R49</f>
        <v>179824</v>
      </c>
      <c r="S46" s="137">
        <f>Productivity!S49</f>
        <v>277992</v>
      </c>
      <c r="T46" s="137">
        <f>Productivity!T49</f>
        <v>276560</v>
      </c>
      <c r="U46" s="137">
        <f>Productivity!U49</f>
        <v>204938</v>
      </c>
      <c r="V46" s="137">
        <f>Productivity!V49</f>
        <v>187248</v>
      </c>
      <c r="W46" s="213">
        <v>135000</v>
      </c>
    </row>
    <row r="47" spans="1:24" ht="17.45" customHeight="1">
      <c r="A47" s="129" t="str">
        <f>Productivity!A50</f>
        <v xml:space="preserve">Sl. Bulls </v>
      </c>
      <c r="B47" s="137">
        <f>Productivity!B50</f>
        <v>0</v>
      </c>
      <c r="C47" s="137">
        <f>Productivity!C50</f>
        <v>0</v>
      </c>
      <c r="D47" s="137">
        <f>Productivity!D50</f>
        <v>30164.964171986609</v>
      </c>
      <c r="E47" s="137">
        <f>Productivity!E50</f>
        <v>23841.02682152369</v>
      </c>
      <c r="F47" s="137">
        <f>Productivity!F50</f>
        <v>44286</v>
      </c>
      <c r="G47" s="137">
        <f>Productivity!G50</f>
        <v>53575</v>
      </c>
      <c r="H47" s="137">
        <f>Productivity!H50</f>
        <v>57448</v>
      </c>
      <c r="I47" s="137">
        <f>Productivity!I50</f>
        <v>17006</v>
      </c>
      <c r="J47" s="137">
        <f>Productivity!J50</f>
        <v>0</v>
      </c>
      <c r="K47" s="137">
        <f>Productivity!K50</f>
        <v>476</v>
      </c>
      <c r="L47" s="137">
        <f>Productivity!L50</f>
        <v>904</v>
      </c>
      <c r="M47" s="137">
        <f>Productivity!M50</f>
        <v>2351</v>
      </c>
      <c r="N47" s="137">
        <f>Productivity!N50</f>
        <v>47958</v>
      </c>
      <c r="O47" s="137">
        <f>Productivity!O50</f>
        <v>40238</v>
      </c>
      <c r="P47" s="137">
        <f>Productivity!P50</f>
        <v>28179</v>
      </c>
      <c r="Q47" s="137">
        <f>Productivity!Q50</f>
        <v>24274</v>
      </c>
      <c r="R47" s="137">
        <f>Productivity!R50</f>
        <v>27462</v>
      </c>
      <c r="S47" s="137">
        <f>Productivity!S50</f>
        <v>42444</v>
      </c>
      <c r="T47" s="137">
        <f>Productivity!T50</f>
        <v>44638</v>
      </c>
      <c r="U47" s="137">
        <f>Productivity!U50</f>
        <v>33132</v>
      </c>
      <c r="V47" s="137">
        <f>Productivity!V50</f>
        <v>28636</v>
      </c>
      <c r="W47" s="213">
        <v>60000</v>
      </c>
    </row>
    <row r="48" spans="1:24" ht="17.45" customHeight="1">
      <c r="W48" s="156"/>
    </row>
    <row r="49" spans="1:23" ht="17.45" customHeight="1">
      <c r="A49" s="143" t="s">
        <v>100</v>
      </c>
      <c r="W49" s="156"/>
    </row>
    <row r="50" spans="1:23" ht="17.45" customHeight="1">
      <c r="A50" s="129" t="str">
        <f>Productivity!A53</f>
        <v>Steers</v>
      </c>
      <c r="D50" s="149">
        <f>Productivity!D53*0.73</f>
        <v>122.28773381746802</v>
      </c>
      <c r="E50" s="149">
        <f t="shared" ref="E50:V50" si="3">(E43*E29)/1000000</f>
        <v>89.470575309431837</v>
      </c>
      <c r="F50" s="149">
        <f t="shared" si="3"/>
        <v>96.634202980132429</v>
      </c>
      <c r="G50" s="149">
        <f t="shared" si="3"/>
        <v>115.35729635761591</v>
      </c>
      <c r="H50" s="149">
        <f t="shared" si="3"/>
        <v>95.387147019867541</v>
      </c>
      <c r="I50" s="149">
        <f t="shared" si="3"/>
        <v>29.447850993377482</v>
      </c>
      <c r="J50" s="149">
        <f t="shared" si="3"/>
        <v>0</v>
      </c>
      <c r="K50" s="149">
        <f t="shared" si="3"/>
        <v>56.970167880794691</v>
      </c>
      <c r="L50" s="149">
        <f t="shared" si="3"/>
        <v>108.28069933774833</v>
      </c>
      <c r="M50" s="149">
        <f t="shared" si="3"/>
        <v>132.29559393</v>
      </c>
      <c r="N50" s="149">
        <f t="shared" si="3"/>
        <v>100.00144039735098</v>
      </c>
      <c r="O50" s="149">
        <f t="shared" si="3"/>
        <v>77.803426490066229</v>
      </c>
      <c r="P50" s="149">
        <f t="shared" si="3"/>
        <v>103.45767814569535</v>
      </c>
      <c r="Q50" s="149">
        <f t="shared" si="3"/>
        <v>72.701327152317873</v>
      </c>
      <c r="R50" s="149">
        <f t="shared" si="3"/>
        <v>72.099499337748327</v>
      </c>
      <c r="S50" s="149">
        <f t="shared" si="3"/>
        <v>61.909587417218539</v>
      </c>
      <c r="T50" s="149">
        <f t="shared" si="3"/>
        <v>65.923349999999999</v>
      </c>
      <c r="U50" s="149">
        <f t="shared" si="3"/>
        <v>40.700592</v>
      </c>
      <c r="V50" s="149">
        <f t="shared" si="3"/>
        <v>54.105364238410594</v>
      </c>
      <c r="W50" s="210">
        <f t="shared" ref="W50" si="4">(W43*W29)/1000000</f>
        <v>57.560499999999998</v>
      </c>
    </row>
    <row r="51" spans="1:23" ht="17.45" customHeight="1">
      <c r="A51" s="129" t="str">
        <f>Productivity!A54</f>
        <v>Heifers</v>
      </c>
      <c r="D51" s="149">
        <f>Productivity!D54*0.73</f>
        <v>75.692703790943298</v>
      </c>
      <c r="E51" s="149">
        <f t="shared" ref="E51:V51" si="5">(E44*E30)/1000000</f>
        <v>58.669095302040709</v>
      </c>
      <c r="F51" s="149">
        <f t="shared" si="5"/>
        <v>49.247908609271519</v>
      </c>
      <c r="G51" s="149">
        <f t="shared" si="5"/>
        <v>72.870811258278138</v>
      </c>
      <c r="H51" s="149">
        <f t="shared" si="5"/>
        <v>63.909279139072837</v>
      </c>
      <c r="I51" s="149">
        <f t="shared" si="5"/>
        <v>24.405215562913906</v>
      </c>
      <c r="J51" s="149">
        <f t="shared" si="5"/>
        <v>0</v>
      </c>
      <c r="K51" s="149">
        <f t="shared" si="5"/>
        <v>27.578038410596026</v>
      </c>
      <c r="L51" s="149">
        <f t="shared" si="5"/>
        <v>81.009551324503292</v>
      </c>
      <c r="M51" s="149">
        <f t="shared" si="5"/>
        <v>94.072523841059592</v>
      </c>
      <c r="N51" s="149">
        <f t="shared" si="5"/>
        <v>79.016933019999996</v>
      </c>
      <c r="O51" s="149">
        <f t="shared" si="5"/>
        <v>64.04303708609271</v>
      </c>
      <c r="P51" s="149">
        <f t="shared" si="5"/>
        <v>65.744475496688736</v>
      </c>
      <c r="Q51" s="149">
        <f t="shared" si="5"/>
        <v>46.815962913907278</v>
      </c>
      <c r="R51" s="149">
        <f t="shared" si="5"/>
        <v>49.850251986754962</v>
      </c>
      <c r="S51" s="149">
        <f t="shared" si="5"/>
        <v>36.794354966887411</v>
      </c>
      <c r="T51" s="149">
        <f t="shared" si="5"/>
        <v>45.237577999999999</v>
      </c>
      <c r="U51" s="149">
        <f t="shared" si="5"/>
        <v>26.013351</v>
      </c>
      <c r="V51" s="149">
        <f t="shared" si="5"/>
        <v>42.51449933774834</v>
      </c>
      <c r="W51" s="210">
        <f t="shared" ref="W51" si="6">(W44*W30)/1000000</f>
        <v>34.31</v>
      </c>
    </row>
    <row r="52" spans="1:23" ht="17.45" customHeight="1">
      <c r="A52" s="129" t="str">
        <f>Productivity!A55</f>
        <v>Cows</v>
      </c>
      <c r="D52" s="149">
        <f>Productivity!D55*0.73</f>
        <v>-6.3626099925680357</v>
      </c>
      <c r="E52" s="149">
        <f t="shared" ref="E52:V52" si="7">(E46*E31)/1000000</f>
        <v>-5.1629243514160565</v>
      </c>
      <c r="F52" s="149">
        <f t="shared" si="7"/>
        <v>38.831268874172181</v>
      </c>
      <c r="G52" s="149">
        <f t="shared" si="7"/>
        <v>59.193144370860921</v>
      </c>
      <c r="H52" s="149">
        <f t="shared" si="7"/>
        <v>86.78641589403972</v>
      </c>
      <c r="I52" s="149">
        <f t="shared" si="7"/>
        <v>31.650669536423841</v>
      </c>
      <c r="J52" s="149">
        <f t="shared" si="7"/>
        <v>0</v>
      </c>
      <c r="K52" s="149">
        <f t="shared" si="7"/>
        <v>0.61448245033112581</v>
      </c>
      <c r="L52" s="149">
        <f t="shared" si="7"/>
        <v>0</v>
      </c>
      <c r="M52" s="149">
        <f t="shared" si="7"/>
        <v>1.8872970198675494</v>
      </c>
      <c r="N52" s="149">
        <f t="shared" si="7"/>
        <v>41.967959880000002</v>
      </c>
      <c r="O52" s="149">
        <f t="shared" si="7"/>
        <v>44.509219205298017</v>
      </c>
      <c r="P52" s="149">
        <f t="shared" si="7"/>
        <v>40.679364238410592</v>
      </c>
      <c r="Q52" s="149">
        <f t="shared" si="7"/>
        <v>24.904743377483438</v>
      </c>
      <c r="R52" s="149">
        <f t="shared" si="7"/>
        <v>40.251994701986753</v>
      </c>
      <c r="S52" s="149">
        <f t="shared" si="7"/>
        <v>61.673721854304631</v>
      </c>
      <c r="T52" s="149">
        <f t="shared" si="7"/>
        <v>62.502560000000003</v>
      </c>
      <c r="U52" s="149">
        <f t="shared" si="7"/>
        <v>49.185120000000005</v>
      </c>
      <c r="V52" s="149">
        <f t="shared" si="7"/>
        <v>46.315978807947019</v>
      </c>
      <c r="W52" s="210">
        <f t="shared" ref="W52" si="8">(W46*W31)/1000000</f>
        <v>33.014249999999997</v>
      </c>
    </row>
    <row r="53" spans="1:23" ht="17.45" customHeight="1">
      <c r="A53" s="129" t="str">
        <f>Productivity!A56</f>
        <v>Bulls</v>
      </c>
      <c r="D53" s="149">
        <f>Productivity!D56*0.73</f>
        <v>8.8197560807497268</v>
      </c>
      <c r="E53" s="149">
        <f t="shared" ref="E53:V53" si="9">(E47*E32)/1000000</f>
        <v>7.1680968059415591</v>
      </c>
      <c r="F53" s="149">
        <f t="shared" si="9"/>
        <v>13.505763576158939</v>
      </c>
      <c r="G53" s="149">
        <f t="shared" si="9"/>
        <v>16.178940397350992</v>
      </c>
      <c r="H53" s="149">
        <f t="shared" si="9"/>
        <v>17.367557615894039</v>
      </c>
      <c r="I53" s="149">
        <f t="shared" si="9"/>
        <v>5.5522900662251651</v>
      </c>
      <c r="J53" s="149">
        <f t="shared" si="9"/>
        <v>0</v>
      </c>
      <c r="K53" s="149">
        <f t="shared" si="9"/>
        <v>0.16360529801324503</v>
      </c>
      <c r="L53" s="149">
        <f t="shared" si="9"/>
        <v>0.30771920529801322</v>
      </c>
      <c r="M53" s="149">
        <f t="shared" si="9"/>
        <v>0.79482483443708585</v>
      </c>
      <c r="N53" s="149">
        <f t="shared" si="9"/>
        <v>15.894240360000001</v>
      </c>
      <c r="O53" s="149">
        <f t="shared" si="9"/>
        <v>12.697620529801325</v>
      </c>
      <c r="P53" s="149">
        <f t="shared" si="9"/>
        <v>9.4241026490066222</v>
      </c>
      <c r="Q53" s="149">
        <f t="shared" si="9"/>
        <v>8.0055973509933764</v>
      </c>
      <c r="R53" s="149">
        <f t="shared" si="9"/>
        <v>9.0660973509933775</v>
      </c>
      <c r="S53" s="149">
        <f t="shared" si="9"/>
        <v>12.213190728476823</v>
      </c>
      <c r="T53" s="149">
        <f t="shared" si="9"/>
        <v>13.703866</v>
      </c>
      <c r="U53" s="149">
        <f t="shared" si="9"/>
        <v>10.999824</v>
      </c>
      <c r="V53" s="149">
        <f t="shared" si="9"/>
        <v>9.6338331125827796</v>
      </c>
      <c r="W53" s="210">
        <f t="shared" ref="W53" si="10">(W47*W32)/1000000</f>
        <v>20.848800000000001</v>
      </c>
    </row>
    <row r="54" spans="1:23" ht="17.45" customHeight="1">
      <c r="A54" s="140" t="s">
        <v>102</v>
      </c>
      <c r="D54" s="154">
        <f>D55/0.73</f>
        <v>274.57203246108634</v>
      </c>
      <c r="E54" s="154">
        <f t="shared" ref="E54:W54" si="11">E55/0.73</f>
        <v>205.67786721369598</v>
      </c>
      <c r="F54" s="154">
        <f t="shared" si="11"/>
        <v>271.53307402703433</v>
      </c>
      <c r="G54" s="154">
        <f t="shared" si="11"/>
        <v>361.09615395083006</v>
      </c>
      <c r="H54" s="154">
        <f t="shared" si="11"/>
        <v>360.89095845051253</v>
      </c>
      <c r="I54" s="154">
        <f t="shared" si="11"/>
        <v>124.7342824095074</v>
      </c>
      <c r="J54" s="154">
        <f t="shared" si="11"/>
        <v>0</v>
      </c>
      <c r="K54" s="154">
        <f t="shared" si="11"/>
        <v>116.88533430100698</v>
      </c>
      <c r="L54" s="154">
        <f t="shared" si="11"/>
        <v>259.72324639390359</v>
      </c>
      <c r="M54" s="154">
        <f t="shared" si="11"/>
        <v>313.76745154159488</v>
      </c>
      <c r="N54" s="154">
        <f t="shared" si="11"/>
        <v>324.49393651691912</v>
      </c>
      <c r="O54" s="154">
        <f t="shared" si="11"/>
        <v>272.67575796062783</v>
      </c>
      <c r="P54" s="154">
        <f t="shared" si="11"/>
        <v>300.41865826000173</v>
      </c>
      <c r="Q54" s="154">
        <f t="shared" si="11"/>
        <v>208.80497369137257</v>
      </c>
      <c r="R54" s="154">
        <f t="shared" si="11"/>
        <v>234.61348407874442</v>
      </c>
      <c r="S54" s="154">
        <f t="shared" si="11"/>
        <v>236.42582872176357</v>
      </c>
      <c r="T54" s="154">
        <f t="shared" si="11"/>
        <v>256.66760821917808</v>
      </c>
      <c r="U54" s="154">
        <f t="shared" si="11"/>
        <v>173.83409178082195</v>
      </c>
      <c r="V54" s="154">
        <f t="shared" si="11"/>
        <v>208.99955547491609</v>
      </c>
      <c r="W54" s="258">
        <f t="shared" si="11"/>
        <v>199.63500000000002</v>
      </c>
    </row>
    <row r="55" spans="1:23" ht="17.45" customHeight="1">
      <c r="A55" s="140" t="s">
        <v>113</v>
      </c>
      <c r="D55" s="154">
        <f>SUM(D50:D53)</f>
        <v>200.43758369659301</v>
      </c>
      <c r="E55" s="154">
        <f t="shared" ref="E55:T55" si="12">SUM(E50:E53)</f>
        <v>150.14484306599806</v>
      </c>
      <c r="F55" s="154">
        <f t="shared" si="12"/>
        <v>198.21914403973506</v>
      </c>
      <c r="G55" s="154">
        <f t="shared" si="12"/>
        <v>263.60019238410592</v>
      </c>
      <c r="H55" s="154">
        <f t="shared" si="12"/>
        <v>263.45039966887413</v>
      </c>
      <c r="I55" s="154">
        <f t="shared" si="12"/>
        <v>91.056026158940398</v>
      </c>
      <c r="J55" s="154">
        <f t="shared" si="12"/>
        <v>0</v>
      </c>
      <c r="K55" s="154">
        <f t="shared" si="12"/>
        <v>85.326294039735089</v>
      </c>
      <c r="L55" s="154">
        <f t="shared" si="12"/>
        <v>189.59796986754964</v>
      </c>
      <c r="M55" s="154">
        <f t="shared" si="12"/>
        <v>229.05023962536424</v>
      </c>
      <c r="N55" s="154">
        <f t="shared" si="12"/>
        <v>236.88057365735096</v>
      </c>
      <c r="O55" s="154">
        <f t="shared" si="12"/>
        <v>199.0533033112583</v>
      </c>
      <c r="P55" s="154">
        <f t="shared" si="12"/>
        <v>219.30562052980127</v>
      </c>
      <c r="Q55" s="154">
        <f t="shared" si="12"/>
        <v>152.42763079470197</v>
      </c>
      <c r="R55" s="154">
        <f t="shared" si="12"/>
        <v>171.26784337748342</v>
      </c>
      <c r="S55" s="154">
        <f t="shared" si="12"/>
        <v>172.59085496688741</v>
      </c>
      <c r="T55" s="154">
        <f t="shared" si="12"/>
        <v>187.36735400000001</v>
      </c>
      <c r="U55" s="154">
        <f>SUM(U50:U53)</f>
        <v>126.89888700000002</v>
      </c>
      <c r="V55" s="154">
        <f>SUM(V50:V53)</f>
        <v>152.56967549668875</v>
      </c>
      <c r="W55" s="258">
        <f>SUM(W50:W53)</f>
        <v>145.73355000000001</v>
      </c>
    </row>
    <row r="56" spans="1:23" ht="43.5" customHeight="1">
      <c r="A56" s="108" t="s">
        <v>104</v>
      </c>
      <c r="W56" s="156"/>
    </row>
    <row r="57" spans="1:23" ht="17.45" customHeight="1">
      <c r="A57" s="129" t="str">
        <f>Productivity!A60</f>
        <v>Total</v>
      </c>
      <c r="W57" s="156"/>
    </row>
    <row r="58" spans="1:23" ht="17.45" customHeight="1">
      <c r="A58" s="129" t="str">
        <f>Productivity!A61</f>
        <v>Steers</v>
      </c>
      <c r="F58" s="137">
        <f>Productivity!F61</f>
        <v>79759</v>
      </c>
      <c r="G58" s="137">
        <f>Productivity!G61</f>
        <v>103257</v>
      </c>
      <c r="H58" s="137">
        <f>Productivity!H61</f>
        <v>257757</v>
      </c>
      <c r="I58" s="137">
        <f>Productivity!I61</f>
        <v>57860</v>
      </c>
      <c r="J58" s="137">
        <f>Productivity!J61</f>
        <v>0</v>
      </c>
      <c r="K58" s="137">
        <f>Productivity!K61</f>
        <v>150974</v>
      </c>
      <c r="L58" s="137">
        <f>Productivity!L61</f>
        <v>176739</v>
      </c>
      <c r="M58" s="137">
        <f>Productivity!M61</f>
        <v>294401</v>
      </c>
      <c r="N58" s="137">
        <f>Productivity!N61</f>
        <v>270327</v>
      </c>
      <c r="O58" s="137">
        <f>Productivity!O61</f>
        <v>104362</v>
      </c>
      <c r="P58" s="137">
        <f>Productivity!P61</f>
        <v>81423</v>
      </c>
      <c r="Q58" s="137">
        <f>Productivity!Q61</f>
        <v>47378</v>
      </c>
      <c r="R58" s="137">
        <f>Productivity!R61</f>
        <v>77010</v>
      </c>
      <c r="S58" s="137">
        <f>Productivity!S61</f>
        <v>149412</v>
      </c>
      <c r="T58" s="137">
        <f>Productivity!T61</f>
        <v>158706</v>
      </c>
      <c r="U58" s="137">
        <f>Productivity!U61</f>
        <v>141687</v>
      </c>
      <c r="V58" s="137">
        <f>Productivity!V61</f>
        <v>76771</v>
      </c>
      <c r="W58" s="213">
        <v>130000</v>
      </c>
    </row>
    <row r="59" spans="1:23" ht="17.45" customHeight="1">
      <c r="A59" s="129" t="str">
        <f>Productivity!A62</f>
        <v>Heifers</v>
      </c>
      <c r="F59" s="137">
        <f>Productivity!F62</f>
        <v>20569</v>
      </c>
      <c r="G59" s="137">
        <f>Productivity!G62</f>
        <v>55202</v>
      </c>
      <c r="H59" s="137">
        <f>Productivity!H62</f>
        <v>188937</v>
      </c>
      <c r="I59" s="137">
        <f>Productivity!I62</f>
        <v>33017.739094620614</v>
      </c>
      <c r="J59" s="137">
        <f>Productivity!J62</f>
        <v>0</v>
      </c>
      <c r="K59" s="137">
        <f>Productivity!K62</f>
        <v>76065</v>
      </c>
      <c r="L59" s="137">
        <f>Productivity!L62</f>
        <v>131981</v>
      </c>
      <c r="M59" s="137">
        <f>Productivity!M62</f>
        <v>243598</v>
      </c>
      <c r="N59" s="137">
        <f>Productivity!N62</f>
        <v>356016</v>
      </c>
      <c r="O59" s="137">
        <f>Productivity!O62</f>
        <v>178144</v>
      </c>
      <c r="P59" s="137">
        <f>Productivity!P62</f>
        <v>135460</v>
      </c>
      <c r="Q59" s="137">
        <f>Productivity!Q62</f>
        <v>52592</v>
      </c>
      <c r="R59" s="137">
        <f>Productivity!R62</f>
        <v>88619</v>
      </c>
      <c r="S59" s="137">
        <f>Productivity!S62</f>
        <v>205664</v>
      </c>
      <c r="T59" s="137">
        <f>Productivity!T62</f>
        <v>327254</v>
      </c>
      <c r="U59" s="137">
        <f>Productivity!U62</f>
        <v>189594</v>
      </c>
      <c r="V59" s="137">
        <f>Productivity!V62</f>
        <v>118953</v>
      </c>
      <c r="W59" s="216">
        <v>176000</v>
      </c>
    </row>
    <row r="60" spans="1:23" ht="17.45" customHeight="1">
      <c r="A60" s="129">
        <f>Productivity!A63</f>
        <v>0</v>
      </c>
      <c r="W60" s="156"/>
    </row>
    <row r="61" spans="1:23" ht="17.45" customHeight="1">
      <c r="A61" s="129" t="str">
        <f>Productivity!A64</f>
        <v>Potential Tonnage</v>
      </c>
      <c r="F61" s="149">
        <f t="shared" ref="F61:V61" si="13">((F58*F29)+(F59*F30))/1000000</f>
        <v>26.661471854304633</v>
      </c>
      <c r="G61" s="149">
        <f t="shared" si="13"/>
        <v>42.145542052980133</v>
      </c>
      <c r="H61" s="149">
        <f t="shared" si="13"/>
        <v>119.62181225165561</v>
      </c>
      <c r="I61" s="149">
        <f t="shared" si="13"/>
        <v>24.536408686390295</v>
      </c>
      <c r="J61" s="149">
        <f t="shared" si="13"/>
        <v>0</v>
      </c>
      <c r="K61" s="149">
        <f t="shared" si="13"/>
        <v>60.787310596026479</v>
      </c>
      <c r="L61" s="149">
        <f t="shared" si="13"/>
        <v>83.261820529801312</v>
      </c>
      <c r="M61" s="149">
        <f t="shared" si="13"/>
        <v>145.03977463331125</v>
      </c>
      <c r="N61" s="149">
        <f t="shared" si="13"/>
        <v>168.41053733403976</v>
      </c>
      <c r="O61" s="149">
        <f t="shared" si="13"/>
        <v>75.658801324503301</v>
      </c>
      <c r="P61" s="149">
        <f t="shared" si="13"/>
        <v>58.145591721854302</v>
      </c>
      <c r="Q61" s="149">
        <f t="shared" si="13"/>
        <v>27.082018543046356</v>
      </c>
      <c r="R61" s="149">
        <f t="shared" si="13"/>
        <v>46.421768543046355</v>
      </c>
      <c r="S61" s="149">
        <f t="shared" si="13"/>
        <v>98.538164238410587</v>
      </c>
      <c r="T61" s="149">
        <f t="shared" si="13"/>
        <v>131.299012</v>
      </c>
      <c r="U61" s="150">
        <f t="shared" si="13"/>
        <v>93.698514000000003</v>
      </c>
      <c r="V61" s="149">
        <f t="shared" si="13"/>
        <v>56.487424503311253</v>
      </c>
      <c r="W61" s="210">
        <f t="shared" ref="W61" si="14">((W58*W29)+(W59*W30))/1000000</f>
        <v>87.691980000000001</v>
      </c>
    </row>
    <row r="62" spans="1:23" ht="17.45" customHeight="1">
      <c r="A62" s="129" t="str">
        <f>Productivity!A65</f>
        <v>Exported Tonnage</v>
      </c>
      <c r="D62" s="152"/>
      <c r="F62" s="149">
        <f>F61/2</f>
        <v>13.330735927152316</v>
      </c>
      <c r="G62" s="149">
        <f t="shared" ref="G62:V62" si="15">G61/2</f>
        <v>21.072771026490067</v>
      </c>
      <c r="H62" s="149">
        <f t="shared" si="15"/>
        <v>59.810906125827806</v>
      </c>
      <c r="I62" s="149">
        <f t="shared" si="15"/>
        <v>12.268204343195148</v>
      </c>
      <c r="J62" s="149">
        <f t="shared" si="15"/>
        <v>0</v>
      </c>
      <c r="K62" s="149">
        <f t="shared" si="15"/>
        <v>30.39365529801324</v>
      </c>
      <c r="L62" s="149">
        <f t="shared" si="15"/>
        <v>41.630910264900656</v>
      </c>
      <c r="M62" s="149">
        <f t="shared" si="15"/>
        <v>72.519887316655627</v>
      </c>
      <c r="N62" s="149">
        <f t="shared" si="15"/>
        <v>84.20526866701988</v>
      </c>
      <c r="O62" s="149">
        <f t="shared" si="15"/>
        <v>37.829400662251651</v>
      </c>
      <c r="P62" s="149">
        <f t="shared" si="15"/>
        <v>29.072795860927151</v>
      </c>
      <c r="Q62" s="149">
        <f t="shared" si="15"/>
        <v>13.541009271523178</v>
      </c>
      <c r="R62" s="149">
        <f t="shared" si="15"/>
        <v>23.210884271523177</v>
      </c>
      <c r="S62" s="149">
        <f t="shared" si="15"/>
        <v>49.269082119205294</v>
      </c>
      <c r="T62" s="149">
        <f t="shared" si="15"/>
        <v>65.649506000000002</v>
      </c>
      <c r="U62" s="149">
        <f t="shared" si="15"/>
        <v>46.849257000000001</v>
      </c>
      <c r="V62" s="149">
        <f t="shared" si="15"/>
        <v>28.243712251655626</v>
      </c>
      <c r="W62" s="210">
        <f t="shared" ref="W62" si="16">W61/2</f>
        <v>43.84599</v>
      </c>
    </row>
    <row r="63" spans="1:23" ht="17.45" customHeight="1">
      <c r="W63" s="156"/>
    </row>
    <row r="64" spans="1:23" ht="17.45" customHeight="1">
      <c r="A64" s="120" t="s">
        <v>149</v>
      </c>
      <c r="B64" s="140"/>
      <c r="C64" s="140"/>
      <c r="D64" s="153">
        <f>Productivity!D69</f>
        <v>938.89103293996754</v>
      </c>
      <c r="E64" s="153">
        <f>Productivity!E69</f>
        <v>986.24013524265547</v>
      </c>
      <c r="F64" s="153">
        <f>Productivity!F69</f>
        <v>1030.7252055626172</v>
      </c>
      <c r="G64" s="154">
        <f>Productivity!G69</f>
        <v>1077.8782384377967</v>
      </c>
      <c r="H64" s="153">
        <f>Productivity!H69</f>
        <v>1171.5997848216891</v>
      </c>
      <c r="I64" s="153">
        <f>Productivity!I69</f>
        <v>896.86568993601202</v>
      </c>
      <c r="J64" s="153">
        <f>Productivity!J69</f>
        <v>1031.3890501140947</v>
      </c>
      <c r="K64" s="153">
        <f>Productivity!K69</f>
        <v>1147.1242992987782</v>
      </c>
      <c r="L64" s="153">
        <f>Productivity!L69</f>
        <v>1148.9295086193388</v>
      </c>
      <c r="M64" s="153">
        <f>Productivity!M69</f>
        <v>1205.0151330754063</v>
      </c>
      <c r="N64" s="153">
        <f>Productivity!N69</f>
        <v>1227.1473241075671</v>
      </c>
      <c r="O64" s="153">
        <f>Productivity!O69</f>
        <v>1077.9271471927009</v>
      </c>
      <c r="P64" s="153">
        <f>Productivity!P69</f>
        <v>1092.8199972662935</v>
      </c>
      <c r="Q64" s="153">
        <f>Productivity!Q69</f>
        <v>935.95963121514649</v>
      </c>
      <c r="R64" s="153">
        <f>Productivity!R69</f>
        <v>909.275751974684</v>
      </c>
      <c r="S64" s="153">
        <f>Productivity!S69</f>
        <v>933.05720102748967</v>
      </c>
      <c r="T64" s="153">
        <f>T40+T55+T61</f>
        <v>1080.9131616771674</v>
      </c>
      <c r="U64" s="154">
        <f>U40+U55+U61</f>
        <v>972.96669422117918</v>
      </c>
      <c r="V64" s="153">
        <f>Productivity!V69</f>
        <v>974.95465421940605</v>
      </c>
      <c r="W64" s="217">
        <f>Productivity!W69</f>
        <v>974.21199625525094</v>
      </c>
    </row>
    <row r="65" spans="1:26" ht="17.45" customHeight="1">
      <c r="A65" s="120" t="s">
        <v>115</v>
      </c>
      <c r="D65" s="153">
        <f>D64-C62</f>
        <v>938.89103293996754</v>
      </c>
      <c r="E65" s="153">
        <f t="shared" ref="E65:W65" si="17">E64-D62</f>
        <v>986.24013524265547</v>
      </c>
      <c r="F65" s="153">
        <f t="shared" si="17"/>
        <v>1030.7252055626172</v>
      </c>
      <c r="G65" s="153">
        <f t="shared" si="17"/>
        <v>1064.5475025106443</v>
      </c>
      <c r="H65" s="153">
        <f t="shared" si="17"/>
        <v>1150.5270137951991</v>
      </c>
      <c r="I65" s="153">
        <f t="shared" si="17"/>
        <v>837.05478381018418</v>
      </c>
      <c r="J65" s="153">
        <f t="shared" si="17"/>
        <v>1019.1208457708996</v>
      </c>
      <c r="K65" s="153">
        <f t="shared" si="17"/>
        <v>1147.1242992987782</v>
      </c>
      <c r="L65" s="153">
        <f t="shared" si="17"/>
        <v>1118.5358533213255</v>
      </c>
      <c r="M65" s="153">
        <f t="shared" si="17"/>
        <v>1163.3842228105057</v>
      </c>
      <c r="N65" s="153">
        <f t="shared" si="17"/>
        <v>1154.6274367909114</v>
      </c>
      <c r="O65" s="153">
        <f t="shared" si="17"/>
        <v>993.72187852568095</v>
      </c>
      <c r="P65" s="153">
        <f t="shared" si="17"/>
        <v>1054.9905966040419</v>
      </c>
      <c r="Q65" s="153">
        <f t="shared" si="17"/>
        <v>906.88683535421933</v>
      </c>
      <c r="R65" s="153">
        <f t="shared" si="17"/>
        <v>895.7347427031608</v>
      </c>
      <c r="S65" s="153">
        <f t="shared" si="17"/>
        <v>909.84631675596654</v>
      </c>
      <c r="T65" s="153">
        <f t="shared" si="17"/>
        <v>1031.6440795579622</v>
      </c>
      <c r="U65" s="153">
        <f t="shared" si="17"/>
        <v>907.31718822117921</v>
      </c>
      <c r="V65" s="153">
        <f t="shared" si="17"/>
        <v>928.10539721940609</v>
      </c>
      <c r="W65" s="217">
        <f t="shared" si="17"/>
        <v>945.96828400359527</v>
      </c>
    </row>
    <row r="66" spans="1:26" ht="17.45" customHeight="1">
      <c r="A66" s="119"/>
      <c r="W66" s="156"/>
    </row>
    <row r="67" spans="1:26" ht="17.25" customHeight="1">
      <c r="R67" s="156"/>
      <c r="S67" s="156"/>
      <c r="T67" s="156"/>
      <c r="U67" s="156"/>
      <c r="V67" s="156"/>
      <c r="W67" s="156"/>
    </row>
    <row r="68" spans="1:26" ht="20.25" customHeight="1">
      <c r="A68" s="157" t="s">
        <v>117</v>
      </c>
      <c r="S68" s="158"/>
      <c r="T68" s="159"/>
      <c r="U68" s="158"/>
      <c r="V68" s="158"/>
      <c r="W68" s="156"/>
    </row>
    <row r="69" spans="1:26" ht="17.45" customHeight="1">
      <c r="A69" s="160" t="s">
        <v>121</v>
      </c>
      <c r="F69" s="151" t="s">
        <v>86</v>
      </c>
      <c r="G69" s="161" t="s">
        <v>85</v>
      </c>
      <c r="H69" s="161" t="s">
        <v>85</v>
      </c>
      <c r="I69" s="161" t="s">
        <v>85</v>
      </c>
      <c r="J69" s="161" t="s">
        <v>85</v>
      </c>
      <c r="K69" s="161" t="s">
        <v>85</v>
      </c>
      <c r="L69" s="161" t="s">
        <v>85</v>
      </c>
      <c r="M69" s="161" t="s">
        <v>85</v>
      </c>
      <c r="N69" s="161" t="s">
        <v>85</v>
      </c>
      <c r="O69" s="161" t="s">
        <v>85</v>
      </c>
      <c r="P69" s="161" t="s">
        <v>85</v>
      </c>
      <c r="Q69" s="161" t="s">
        <v>85</v>
      </c>
      <c r="R69" s="162" t="s">
        <v>85</v>
      </c>
      <c r="S69" s="162" t="s">
        <v>85</v>
      </c>
      <c r="T69" s="162" t="s">
        <v>85</v>
      </c>
      <c r="U69" s="162" t="s">
        <v>85</v>
      </c>
      <c r="V69" s="162" t="s">
        <v>85</v>
      </c>
      <c r="W69" s="162" t="s">
        <v>85</v>
      </c>
      <c r="Z69" s="162" t="s">
        <v>85</v>
      </c>
    </row>
    <row r="70" spans="1:26" ht="17.45" customHeight="1">
      <c r="A70" s="160" t="s">
        <v>119</v>
      </c>
      <c r="E70" s="163">
        <f>(F70+G70)/2</f>
        <v>111476.5</v>
      </c>
      <c r="F70" s="163">
        <f>(G70+H70)/2</f>
        <v>112208</v>
      </c>
      <c r="G70" s="164">
        <v>110745</v>
      </c>
      <c r="H70" s="164">
        <v>113671</v>
      </c>
      <c r="I70" s="164">
        <v>103917</v>
      </c>
      <c r="J70" s="164">
        <v>40739</v>
      </c>
      <c r="K70" s="164">
        <v>61121</v>
      </c>
      <c r="L70" s="164">
        <v>102984</v>
      </c>
      <c r="M70" s="164">
        <v>131743</v>
      </c>
      <c r="N70" s="164">
        <v>133066</v>
      </c>
      <c r="O70" s="164">
        <v>124966</v>
      </c>
      <c r="P70" s="164">
        <v>131272</v>
      </c>
      <c r="Q70" s="164">
        <v>166235</v>
      </c>
      <c r="R70" s="165">
        <v>175010</v>
      </c>
      <c r="S70" s="166">
        <v>169835</v>
      </c>
      <c r="T70" s="166">
        <v>134921</v>
      </c>
      <c r="U70" s="167">
        <v>128473</v>
      </c>
      <c r="V70" s="137">
        <v>136514</v>
      </c>
      <c r="W70" s="211">
        <v>130000</v>
      </c>
    </row>
    <row r="71" spans="1:26" ht="17.45" customHeight="1">
      <c r="A71" s="160" t="s">
        <v>120</v>
      </c>
      <c r="E71" s="163">
        <f t="shared" ref="E71:F72" si="18">(F71+G71)/2</f>
        <v>128066.75</v>
      </c>
      <c r="F71" s="163">
        <f t="shared" si="18"/>
        <v>126834.5</v>
      </c>
      <c r="G71" s="137">
        <f t="shared" ref="G71:S71" si="19">G72-G70</f>
        <v>129299</v>
      </c>
      <c r="H71" s="137">
        <f t="shared" si="19"/>
        <v>124370</v>
      </c>
      <c r="I71" s="137">
        <f t="shared" si="19"/>
        <v>120380</v>
      </c>
      <c r="J71" s="137">
        <f t="shared" si="19"/>
        <v>67788</v>
      </c>
      <c r="K71" s="137">
        <f t="shared" si="19"/>
        <v>59940</v>
      </c>
      <c r="L71" s="137">
        <f t="shared" si="19"/>
        <v>44035</v>
      </c>
      <c r="M71" s="137">
        <f t="shared" si="19"/>
        <v>66871</v>
      </c>
      <c r="N71" s="137">
        <f t="shared" si="19"/>
        <v>38396</v>
      </c>
      <c r="O71" s="137">
        <f t="shared" si="19"/>
        <v>55852</v>
      </c>
      <c r="P71" s="137">
        <f t="shared" si="19"/>
        <v>44308</v>
      </c>
      <c r="Q71" s="137">
        <f t="shared" si="19"/>
        <v>37529</v>
      </c>
      <c r="R71" s="137">
        <f t="shared" si="19"/>
        <v>48646</v>
      </c>
      <c r="S71" s="137">
        <f t="shared" si="19"/>
        <v>44867</v>
      </c>
      <c r="T71" s="137">
        <f>T72-T70</f>
        <v>66367</v>
      </c>
      <c r="U71" s="137">
        <f>U72-U70</f>
        <v>74871</v>
      </c>
      <c r="V71" s="137">
        <f>V72-V70</f>
        <v>65392</v>
      </c>
      <c r="W71" s="211">
        <f>W72-W70</f>
        <v>59500</v>
      </c>
    </row>
    <row r="72" spans="1:26" ht="17.45" customHeight="1">
      <c r="A72" s="168" t="s">
        <v>109</v>
      </c>
      <c r="E72" s="169">
        <f t="shared" si="18"/>
        <v>239543.25</v>
      </c>
      <c r="F72" s="169">
        <f t="shared" si="18"/>
        <v>239042.5</v>
      </c>
      <c r="G72" s="170">
        <v>240044</v>
      </c>
      <c r="H72" s="170">
        <v>238041</v>
      </c>
      <c r="I72" s="170">
        <v>224297</v>
      </c>
      <c r="J72" s="170">
        <v>108527</v>
      </c>
      <c r="K72" s="170">
        <v>121061</v>
      </c>
      <c r="L72" s="170">
        <v>147019</v>
      </c>
      <c r="M72" s="170">
        <v>198614</v>
      </c>
      <c r="N72" s="170">
        <v>171462</v>
      </c>
      <c r="O72" s="170">
        <v>180818</v>
      </c>
      <c r="P72" s="170">
        <v>175580</v>
      </c>
      <c r="Q72" s="170">
        <v>203764</v>
      </c>
      <c r="R72" s="170">
        <v>223656</v>
      </c>
      <c r="S72" s="170">
        <v>214702</v>
      </c>
      <c r="T72" s="170">
        <v>201288</v>
      </c>
      <c r="U72" s="170">
        <v>203344</v>
      </c>
      <c r="V72" s="170">
        <v>201906</v>
      </c>
      <c r="W72" s="209">
        <v>189500</v>
      </c>
    </row>
    <row r="73" spans="1:26" ht="17.45" customHeight="1">
      <c r="G73" s="171"/>
      <c r="H73" s="171"/>
      <c r="I73" s="171"/>
      <c r="J73" s="171"/>
      <c r="K73" s="171"/>
      <c r="L73" s="171"/>
      <c r="M73" s="171"/>
      <c r="N73" s="171"/>
      <c r="O73" s="171"/>
      <c r="P73" s="171"/>
      <c r="Q73" s="171"/>
      <c r="R73" s="171"/>
      <c r="S73" s="172"/>
      <c r="T73" s="172"/>
      <c r="U73" s="172"/>
      <c r="W73" s="156"/>
    </row>
    <row r="74" spans="1:26" ht="17.45" customHeight="1">
      <c r="G74" s="173"/>
      <c r="H74" s="173"/>
      <c r="I74" s="173"/>
      <c r="J74" s="173"/>
      <c r="K74" s="173"/>
      <c r="L74" s="173"/>
      <c r="M74" s="173"/>
      <c r="N74" s="173"/>
      <c r="O74" s="173"/>
      <c r="P74" s="173"/>
      <c r="Q74" s="173"/>
      <c r="R74" s="173"/>
      <c r="S74" s="172"/>
      <c r="T74" s="172"/>
      <c r="U74" s="172"/>
      <c r="W74" s="156"/>
    </row>
    <row r="75" spans="1:26" ht="17.45" customHeight="1">
      <c r="A75" s="134" t="s">
        <v>122</v>
      </c>
      <c r="W75" s="156"/>
    </row>
    <row r="76" spans="1:26" ht="17.45" customHeight="1">
      <c r="A76" s="160" t="s">
        <v>126</v>
      </c>
      <c r="W76" s="156"/>
    </row>
    <row r="77" spans="1:26" ht="17.45" customHeight="1">
      <c r="A77" s="160" t="s">
        <v>123</v>
      </c>
      <c r="B77" s="166">
        <v>251817</v>
      </c>
      <c r="C77" s="166">
        <v>300059</v>
      </c>
      <c r="D77" s="166">
        <v>341813</v>
      </c>
      <c r="E77" s="174">
        <v>328921</v>
      </c>
      <c r="F77" s="174">
        <v>318464</v>
      </c>
      <c r="G77" s="166">
        <v>355942</v>
      </c>
      <c r="H77" s="166">
        <v>363453</v>
      </c>
      <c r="I77" s="166">
        <v>253499</v>
      </c>
      <c r="J77" s="166">
        <v>336714</v>
      </c>
      <c r="K77" s="166">
        <v>370742</v>
      </c>
      <c r="L77" s="166">
        <v>294734</v>
      </c>
      <c r="M77" s="166">
        <v>280537</v>
      </c>
      <c r="N77" s="166">
        <v>300442</v>
      </c>
      <c r="O77" s="166">
        <v>319206</v>
      </c>
      <c r="P77" s="166">
        <v>307782</v>
      </c>
      <c r="Q77" s="166">
        <v>249950</v>
      </c>
      <c r="R77" s="166">
        <v>197378</v>
      </c>
      <c r="S77" s="166">
        <v>197587</v>
      </c>
      <c r="T77" s="166">
        <v>222004</v>
      </c>
      <c r="U77" s="166">
        <v>230197</v>
      </c>
      <c r="V77" s="166">
        <v>269842</v>
      </c>
      <c r="W77" s="208">
        <v>217000</v>
      </c>
    </row>
    <row r="78" spans="1:26" ht="17.45" customHeight="1">
      <c r="A78" s="160" t="s">
        <v>124</v>
      </c>
      <c r="B78" s="166">
        <v>3149</v>
      </c>
      <c r="C78" s="166">
        <v>6700</v>
      </c>
      <c r="D78" s="166">
        <v>8506</v>
      </c>
      <c r="E78" s="174">
        <v>27518</v>
      </c>
      <c r="F78" s="174">
        <v>53189</v>
      </c>
      <c r="G78" s="174">
        <v>69674</v>
      </c>
      <c r="H78" s="174">
        <v>77887</v>
      </c>
      <c r="I78" s="174">
        <v>29442</v>
      </c>
      <c r="J78" s="174">
        <v>87037</v>
      </c>
      <c r="K78" s="174">
        <v>52064</v>
      </c>
      <c r="L78" s="174">
        <v>41664</v>
      </c>
      <c r="M78" s="174">
        <v>45661</v>
      </c>
      <c r="N78" s="174">
        <v>47230</v>
      </c>
      <c r="O78" s="174">
        <v>36437</v>
      </c>
      <c r="P78" s="174">
        <v>38548</v>
      </c>
      <c r="Q78" s="175">
        <v>26859</v>
      </c>
      <c r="R78" s="175">
        <v>19114</v>
      </c>
      <c r="S78" s="175">
        <v>20902</v>
      </c>
      <c r="T78" s="175">
        <v>20410</v>
      </c>
      <c r="U78" s="175">
        <v>19836</v>
      </c>
      <c r="V78" s="175">
        <v>16143</v>
      </c>
      <c r="W78" s="218">
        <v>14000</v>
      </c>
    </row>
    <row r="79" spans="1:26" ht="17.45" customHeight="1">
      <c r="A79" s="160" t="s">
        <v>125</v>
      </c>
      <c r="B79" s="144">
        <f t="shared" ref="B79" si="20">B80-B77-B78</f>
        <v>37859</v>
      </c>
      <c r="C79" s="144">
        <f t="shared" ref="C79" si="21">C80-C77-C78</f>
        <v>43870</v>
      </c>
      <c r="D79" s="144">
        <f t="shared" ref="D79" si="22">D80-D77-D78</f>
        <v>50053</v>
      </c>
      <c r="E79" s="144">
        <f t="shared" ref="E79" si="23">E80-E77-E78</f>
        <v>69528</v>
      </c>
      <c r="F79" s="144">
        <f t="shared" ref="F79" si="24">F80-F77-F78</f>
        <v>74263</v>
      </c>
      <c r="G79" s="144">
        <f t="shared" ref="G79" si="25">G80-G77-G78</f>
        <v>64110</v>
      </c>
      <c r="H79" s="144">
        <f t="shared" ref="H79" si="26">H80-H77-H78</f>
        <v>76279</v>
      </c>
      <c r="I79" s="144">
        <f t="shared" ref="I79" si="27">I80-I77-I78</f>
        <v>41824</v>
      </c>
      <c r="J79" s="144">
        <f t="shared" ref="J79" si="28">J80-J77-J78</f>
        <v>30911</v>
      </c>
      <c r="K79" s="144">
        <f t="shared" ref="K79" si="29">K80-K77-K78</f>
        <v>35571</v>
      </c>
      <c r="L79" s="144">
        <f t="shared" ref="L79" si="30">L80-L77-L78</f>
        <v>31745</v>
      </c>
      <c r="M79" s="144">
        <f t="shared" ref="M79" si="31">M80-M77-M78</f>
        <v>36612</v>
      </c>
      <c r="N79" s="144">
        <f t="shared" ref="N79" si="32">N80-N77-N78</f>
        <v>45307</v>
      </c>
      <c r="O79" s="144">
        <f t="shared" ref="O79:U79" si="33">O80-O77-O78</f>
        <v>58708</v>
      </c>
      <c r="P79" s="144">
        <f t="shared" si="33"/>
        <v>75293</v>
      </c>
      <c r="Q79" s="144">
        <f t="shared" si="33"/>
        <v>35210</v>
      </c>
      <c r="R79" s="144">
        <f t="shared" si="33"/>
        <v>36868</v>
      </c>
      <c r="S79" s="144">
        <f t="shared" si="33"/>
        <v>41595</v>
      </c>
      <c r="T79" s="144">
        <f t="shared" si="33"/>
        <v>54637</v>
      </c>
      <c r="U79" s="144">
        <f t="shared" si="33"/>
        <v>72497</v>
      </c>
      <c r="V79" s="144">
        <f>V80-V77-V78</f>
        <v>73617</v>
      </c>
      <c r="W79" s="211">
        <f>W80-W77-W78</f>
        <v>76000</v>
      </c>
    </row>
    <row r="80" spans="1:26" ht="17.45" customHeight="1">
      <c r="A80" s="168" t="s">
        <v>109</v>
      </c>
      <c r="B80" s="170">
        <v>292825</v>
      </c>
      <c r="C80" s="170">
        <v>350629</v>
      </c>
      <c r="D80" s="170">
        <v>400372</v>
      </c>
      <c r="E80" s="176">
        <v>425967</v>
      </c>
      <c r="F80" s="176">
        <v>445916</v>
      </c>
      <c r="G80" s="176">
        <v>489726</v>
      </c>
      <c r="H80" s="176">
        <v>517619</v>
      </c>
      <c r="I80" s="176">
        <v>324765</v>
      </c>
      <c r="J80" s="176">
        <v>454662</v>
      </c>
      <c r="K80" s="176">
        <v>458377</v>
      </c>
      <c r="L80" s="176">
        <v>368143</v>
      </c>
      <c r="M80" s="176">
        <v>362810</v>
      </c>
      <c r="N80" s="176">
        <v>392979</v>
      </c>
      <c r="O80" s="176">
        <v>414351</v>
      </c>
      <c r="P80" s="176">
        <v>421623</v>
      </c>
      <c r="Q80" s="176">
        <v>312019</v>
      </c>
      <c r="R80" s="176">
        <v>253360</v>
      </c>
      <c r="S80" s="176">
        <v>260084</v>
      </c>
      <c r="T80" s="176">
        <v>297051</v>
      </c>
      <c r="U80" s="176">
        <v>322530</v>
      </c>
      <c r="V80" s="176">
        <v>359602</v>
      </c>
      <c r="W80" s="219">
        <v>307000</v>
      </c>
    </row>
    <row r="81" spans="1:23" ht="17.45" customHeight="1">
      <c r="A81" s="177"/>
      <c r="B81" s="178"/>
      <c r="C81" s="179"/>
      <c r="D81" s="178"/>
      <c r="E81" s="171"/>
      <c r="F81" s="171"/>
      <c r="G81" s="171"/>
      <c r="H81" s="171"/>
      <c r="I81" s="171"/>
      <c r="J81" s="171"/>
      <c r="K81" s="171"/>
      <c r="L81" s="171"/>
      <c r="M81" s="171"/>
      <c r="N81" s="171"/>
      <c r="O81" s="171"/>
      <c r="P81" s="171"/>
      <c r="Q81" s="171"/>
      <c r="R81" s="171"/>
      <c r="S81" s="171"/>
      <c r="T81" s="171"/>
      <c r="U81" s="171"/>
      <c r="V81" s="133"/>
      <c r="W81" s="156"/>
    </row>
    <row r="82" spans="1:23" ht="17.45" customHeight="1">
      <c r="A82" s="177"/>
      <c r="B82" s="178"/>
      <c r="C82" s="178"/>
      <c r="D82" s="178"/>
      <c r="E82" s="172"/>
      <c r="F82" s="172"/>
      <c r="G82" s="172"/>
      <c r="H82" s="172"/>
      <c r="I82" s="172"/>
      <c r="J82" s="172"/>
      <c r="K82" s="172"/>
      <c r="L82" s="172"/>
      <c r="M82" s="172"/>
      <c r="N82" s="172"/>
      <c r="O82" s="172"/>
      <c r="P82" s="172"/>
      <c r="Q82" s="172"/>
      <c r="R82" s="172"/>
      <c r="S82" s="172"/>
      <c r="T82" s="172"/>
      <c r="U82" s="172"/>
      <c r="W82" s="156"/>
    </row>
    <row r="83" spans="1:23" ht="17.45" customHeight="1">
      <c r="A83" s="134" t="s">
        <v>62</v>
      </c>
      <c r="E83" s="180" t="s">
        <v>84</v>
      </c>
      <c r="F83" s="180" t="s">
        <v>84</v>
      </c>
      <c r="G83" s="133"/>
      <c r="H83" s="133"/>
      <c r="I83" s="133"/>
      <c r="J83" s="133"/>
      <c r="K83" s="133"/>
      <c r="L83" s="133"/>
      <c r="M83" s="133"/>
      <c r="N83" s="133"/>
      <c r="O83" s="133"/>
      <c r="P83" s="133"/>
      <c r="Q83" s="133"/>
      <c r="R83" s="133"/>
      <c r="S83" s="133"/>
      <c r="T83" s="133"/>
      <c r="U83" s="133"/>
      <c r="W83" s="156"/>
    </row>
    <row r="84" spans="1:23" ht="17.45" customHeight="1">
      <c r="A84" s="160" t="s">
        <v>127</v>
      </c>
      <c r="E84" s="181">
        <f t="shared" ref="E84:T84" si="34">(E40*1000)-E80</f>
        <v>450667.39980447688</v>
      </c>
      <c r="F84" s="181">
        <f t="shared" si="34"/>
        <v>434472.43731427274</v>
      </c>
      <c r="G84" s="181">
        <f t="shared" si="34"/>
        <v>387802.07898415439</v>
      </c>
      <c r="H84" s="181">
        <f t="shared" si="34"/>
        <v>395618.2127057953</v>
      </c>
      <c r="I84" s="181">
        <f t="shared" si="34"/>
        <v>501312.64417346288</v>
      </c>
      <c r="J84" s="181">
        <f t="shared" si="34"/>
        <v>576727.05011409475</v>
      </c>
      <c r="K84" s="181">
        <f t="shared" si="34"/>
        <v>566044.08172593068</v>
      </c>
      <c r="L84" s="181">
        <f t="shared" si="34"/>
        <v>558971.54547695466</v>
      </c>
      <c r="M84" s="181">
        <f t="shared" si="34"/>
        <v>530953.9524625988</v>
      </c>
      <c r="N84" s="181">
        <f t="shared" si="34"/>
        <v>515600.07871046115</v>
      </c>
      <c r="O84" s="181">
        <f t="shared" si="34"/>
        <v>468544.56819270074</v>
      </c>
      <c r="P84" s="181">
        <f t="shared" si="34"/>
        <v>478076.92380271747</v>
      </c>
      <c r="Q84" s="181">
        <f t="shared" si="34"/>
        <v>499841.5096985898</v>
      </c>
      <c r="R84" s="181">
        <f t="shared" si="34"/>
        <v>509365.01397799526</v>
      </c>
      <c r="S84" s="181">
        <f t="shared" si="34"/>
        <v>486591.56921954267</v>
      </c>
      <c r="T84" s="181">
        <f t="shared" si="34"/>
        <v>465195.79567716748</v>
      </c>
      <c r="U84" s="181">
        <f>(U40*1000)-U80</f>
        <v>429839.29322117905</v>
      </c>
      <c r="V84" s="181">
        <f>(V40*1000)-V80</f>
        <v>447489.36660351208</v>
      </c>
      <c r="W84" s="208">
        <f>(W40*1000)-W80</f>
        <v>472739.8794552508</v>
      </c>
    </row>
    <row r="85" spans="1:23" ht="17.45" customHeight="1">
      <c r="A85" s="160" t="s">
        <v>128</v>
      </c>
      <c r="E85" s="182">
        <f t="shared" ref="E85:L85" si="35">E70</f>
        <v>111476.5</v>
      </c>
      <c r="F85" s="182">
        <f t="shared" si="35"/>
        <v>112208</v>
      </c>
      <c r="G85" s="166">
        <f t="shared" si="35"/>
        <v>110745</v>
      </c>
      <c r="H85" s="166">
        <f t="shared" si="35"/>
        <v>113671</v>
      </c>
      <c r="I85" s="166">
        <f t="shared" si="35"/>
        <v>103917</v>
      </c>
      <c r="J85" s="166">
        <f t="shared" si="35"/>
        <v>40739</v>
      </c>
      <c r="K85" s="166">
        <f t="shared" si="35"/>
        <v>61121</v>
      </c>
      <c r="L85" s="166">
        <f t="shared" si="35"/>
        <v>102984</v>
      </c>
      <c r="M85" s="166">
        <f t="shared" ref="M85:R85" si="36">M70</f>
        <v>131743</v>
      </c>
      <c r="N85" s="166">
        <f t="shared" si="36"/>
        <v>133066</v>
      </c>
      <c r="O85" s="166">
        <f t="shared" si="36"/>
        <v>124966</v>
      </c>
      <c r="P85" s="166">
        <f t="shared" si="36"/>
        <v>131272</v>
      </c>
      <c r="Q85" s="166">
        <f t="shared" si="36"/>
        <v>166235</v>
      </c>
      <c r="R85" s="166">
        <f t="shared" si="36"/>
        <v>175010</v>
      </c>
      <c r="S85" s="166">
        <f>S70</f>
        <v>169835</v>
      </c>
      <c r="T85" s="166">
        <f>T70</f>
        <v>134921</v>
      </c>
      <c r="U85" s="166">
        <f>U70</f>
        <v>128473</v>
      </c>
      <c r="V85" s="166">
        <f>V70</f>
        <v>136514</v>
      </c>
      <c r="W85" s="208">
        <f>W70</f>
        <v>130000</v>
      </c>
    </row>
    <row r="86" spans="1:23" ht="17.45" customHeight="1">
      <c r="A86" s="160" t="s">
        <v>129</v>
      </c>
      <c r="E86" s="182">
        <f t="shared" ref="E86:S86" si="37">E71</f>
        <v>128066.75</v>
      </c>
      <c r="F86" s="182">
        <f t="shared" si="37"/>
        <v>126834.5</v>
      </c>
      <c r="G86" s="166">
        <f t="shared" si="37"/>
        <v>129299</v>
      </c>
      <c r="H86" s="166">
        <f t="shared" si="37"/>
        <v>124370</v>
      </c>
      <c r="I86" s="166">
        <f t="shared" si="37"/>
        <v>120380</v>
      </c>
      <c r="J86" s="166">
        <f t="shared" si="37"/>
        <v>67788</v>
      </c>
      <c r="K86" s="166">
        <f t="shared" si="37"/>
        <v>59940</v>
      </c>
      <c r="L86" s="166">
        <f t="shared" si="37"/>
        <v>44035</v>
      </c>
      <c r="M86" s="166">
        <f t="shared" si="37"/>
        <v>66871</v>
      </c>
      <c r="N86" s="166">
        <f t="shared" si="37"/>
        <v>38396</v>
      </c>
      <c r="O86" s="166">
        <f t="shared" si="37"/>
        <v>55852</v>
      </c>
      <c r="P86" s="166">
        <f t="shared" si="37"/>
        <v>44308</v>
      </c>
      <c r="Q86" s="166">
        <f t="shared" si="37"/>
        <v>37529</v>
      </c>
      <c r="R86" s="166">
        <f t="shared" si="37"/>
        <v>48646</v>
      </c>
      <c r="S86" s="166">
        <f t="shared" si="37"/>
        <v>44867</v>
      </c>
      <c r="T86" s="166">
        <f>T71</f>
        <v>66367</v>
      </c>
      <c r="U86" s="166">
        <f>U71</f>
        <v>74871</v>
      </c>
      <c r="V86" s="166">
        <f>V71</f>
        <v>65392</v>
      </c>
      <c r="W86" s="208">
        <f>W71</f>
        <v>59500</v>
      </c>
    </row>
    <row r="87" spans="1:23" ht="17.45" customHeight="1">
      <c r="A87" s="168" t="s">
        <v>130</v>
      </c>
      <c r="E87" s="170">
        <f t="shared" ref="E87:F87" si="38">SUM(E84:E86)</f>
        <v>690210.64980447688</v>
      </c>
      <c r="F87" s="170">
        <f t="shared" si="38"/>
        <v>673514.93731427274</v>
      </c>
      <c r="G87" s="170">
        <f>SUM(G84:G86)</f>
        <v>627846.07898415439</v>
      </c>
      <c r="H87" s="170">
        <f t="shared" ref="H87:V87" si="39">SUM(H84:H86)</f>
        <v>633659.2127057953</v>
      </c>
      <c r="I87" s="170">
        <f t="shared" si="39"/>
        <v>725609.64417346288</v>
      </c>
      <c r="J87" s="170">
        <f t="shared" si="39"/>
        <v>685254.05011409475</v>
      </c>
      <c r="K87" s="170">
        <f t="shared" si="39"/>
        <v>687105.08172593068</v>
      </c>
      <c r="L87" s="170">
        <f t="shared" si="39"/>
        <v>705990.54547695466</v>
      </c>
      <c r="M87" s="170">
        <f t="shared" si="39"/>
        <v>729567.9524625988</v>
      </c>
      <c r="N87" s="170">
        <f t="shared" si="39"/>
        <v>687062.07871046115</v>
      </c>
      <c r="O87" s="170">
        <f t="shared" si="39"/>
        <v>649362.56819270074</v>
      </c>
      <c r="P87" s="170">
        <f t="shared" si="39"/>
        <v>653656.92380271747</v>
      </c>
      <c r="Q87" s="170">
        <f t="shared" si="39"/>
        <v>703605.5096985898</v>
      </c>
      <c r="R87" s="170">
        <f t="shared" si="39"/>
        <v>733021.01397799526</v>
      </c>
      <c r="S87" s="170">
        <f t="shared" si="39"/>
        <v>701293.56921954267</v>
      </c>
      <c r="T87" s="170">
        <f t="shared" si="39"/>
        <v>666483.79567716748</v>
      </c>
      <c r="U87" s="170">
        <f t="shared" si="39"/>
        <v>633183.29322117905</v>
      </c>
      <c r="V87" s="170">
        <f t="shared" si="39"/>
        <v>649395.36660351208</v>
      </c>
      <c r="W87" s="209">
        <f t="shared" ref="W87" si="40">SUM(W84:W86)</f>
        <v>662239.8794552508</v>
      </c>
    </row>
    <row r="88" spans="1:23" ht="17.45" customHeight="1">
      <c r="A88" s="168" t="s">
        <v>155</v>
      </c>
      <c r="E88" s="255">
        <f t="shared" ref="E88" si="41">E84/E87</f>
        <v>0.65294182280748947</v>
      </c>
      <c r="F88" s="255">
        <f t="shared" ref="F88" si="42">F84/F87</f>
        <v>0.64508211064596033</v>
      </c>
      <c r="G88" s="255">
        <f t="shared" ref="G88" si="43">G84/G87</f>
        <v>0.61767062336617973</v>
      </c>
      <c r="H88" s="255">
        <f t="shared" ref="H88" si="44">H84/H87</f>
        <v>0.62433908443698238</v>
      </c>
      <c r="I88" s="255">
        <f t="shared" ref="I88" si="45">I84/I87</f>
        <v>0.69088475904217728</v>
      </c>
      <c r="J88" s="255">
        <f t="shared" ref="J88" si="46">J84/J87</f>
        <v>0.84162516079703542</v>
      </c>
      <c r="K88" s="255">
        <f t="shared" ref="K88" si="47">K84/K87</f>
        <v>0.82381006454513717</v>
      </c>
      <c r="L88" s="255">
        <f t="shared" ref="L88" si="48">L84/L87</f>
        <v>0.7917550016187872</v>
      </c>
      <c r="M88" s="255">
        <f t="shared" ref="M88" si="49">M84/M87</f>
        <v>0.72776490616179867</v>
      </c>
      <c r="N88" s="255">
        <f t="shared" ref="N88" si="50">N84/N87</f>
        <v>0.7504417645610495</v>
      </c>
      <c r="O88" s="255">
        <f t="shared" ref="O88" si="51">O84/O87</f>
        <v>0.72154539103901416</v>
      </c>
      <c r="P88" s="255">
        <f t="shared" ref="P88" si="52">P84/P87</f>
        <v>0.73138814321961898</v>
      </c>
      <c r="Q88" s="255">
        <f t="shared" ref="Q88" si="53">Q84/Q87</f>
        <v>0.71040022115902945</v>
      </c>
      <c r="R88" s="255">
        <f t="shared" ref="R88" si="54">R84/R87</f>
        <v>0.69488459984761908</v>
      </c>
      <c r="S88" s="255">
        <f t="shared" ref="S88" si="55">S84/S87</f>
        <v>0.69384861144678955</v>
      </c>
      <c r="T88" s="255">
        <f t="shared" ref="T88" si="56">T84/T87</f>
        <v>0.69798515536977856</v>
      </c>
      <c r="U88" s="255">
        <f>U84/U87</f>
        <v>0.6788544451867442</v>
      </c>
      <c r="V88" s="255">
        <f>V84/V87</f>
        <v>0.6890861709469609</v>
      </c>
      <c r="W88" s="256">
        <f>W84/W87</f>
        <v>0.71384991167267053</v>
      </c>
    </row>
    <row r="89" spans="1:23" ht="17.45" customHeight="1">
      <c r="A89" s="177"/>
      <c r="E89" s="257"/>
      <c r="F89" s="257"/>
      <c r="G89" s="257"/>
      <c r="H89" s="257"/>
      <c r="I89" s="257"/>
      <c r="J89" s="257"/>
      <c r="K89" s="257"/>
      <c r="L89" s="257"/>
      <c r="M89" s="257"/>
      <c r="N89" s="257"/>
      <c r="O89" s="257"/>
      <c r="P89" s="257"/>
      <c r="Q89" s="257"/>
      <c r="R89" s="257"/>
      <c r="S89" s="257"/>
      <c r="T89" s="257"/>
      <c r="U89" s="257"/>
      <c r="V89" s="257"/>
      <c r="W89" s="156"/>
    </row>
    <row r="90" spans="1:23" ht="17.45" customHeight="1">
      <c r="A90" s="134" t="s">
        <v>63</v>
      </c>
      <c r="E90" s="166">
        <v>30600</v>
      </c>
      <c r="F90" s="166">
        <v>30790</v>
      </c>
      <c r="G90" s="166">
        <v>31021.251</v>
      </c>
      <c r="H90" s="166">
        <v>31372.587</v>
      </c>
      <c r="I90" s="166">
        <v>31676.077000000001</v>
      </c>
      <c r="J90" s="166">
        <v>31989.454000000002</v>
      </c>
      <c r="K90" s="166">
        <v>32299</v>
      </c>
      <c r="L90" s="166">
        <v>32623</v>
      </c>
      <c r="M90" s="166">
        <v>32777.303999999996</v>
      </c>
      <c r="N90" s="166">
        <v>33311.4</v>
      </c>
      <c r="O90" s="166">
        <v>33592</v>
      </c>
      <c r="P90" s="183">
        <v>34126</v>
      </c>
      <c r="Q90" s="183">
        <v>34343</v>
      </c>
      <c r="R90" s="183">
        <v>34752</v>
      </c>
      <c r="S90" s="183">
        <v>35154</v>
      </c>
      <c r="T90" s="183">
        <v>35540</v>
      </c>
      <c r="U90" s="183">
        <v>35940</v>
      </c>
      <c r="V90" s="137">
        <v>36286</v>
      </c>
      <c r="W90" s="211">
        <v>36700</v>
      </c>
    </row>
    <row r="91" spans="1:23" ht="17.45" customHeight="1">
      <c r="A91" s="177"/>
      <c r="E91" s="178"/>
      <c r="F91" s="178"/>
      <c r="G91" s="178"/>
      <c r="H91" s="178"/>
      <c r="I91" s="178"/>
      <c r="J91" s="178"/>
      <c r="K91" s="178"/>
      <c r="L91" s="178"/>
      <c r="M91" s="178"/>
      <c r="N91" s="178"/>
      <c r="O91" s="178"/>
      <c r="P91" s="178"/>
      <c r="Q91" s="178"/>
      <c r="R91" s="178"/>
      <c r="S91" s="178"/>
      <c r="T91" s="178"/>
      <c r="U91" s="178"/>
      <c r="W91" s="156"/>
    </row>
    <row r="92" spans="1:23" ht="17.45" customHeight="1">
      <c r="A92" s="184" t="s">
        <v>64</v>
      </c>
      <c r="W92" s="156"/>
    </row>
    <row r="93" spans="1:23" ht="17.45" customHeight="1">
      <c r="A93" s="160" t="s">
        <v>131</v>
      </c>
      <c r="E93" s="185">
        <f t="shared" ref="E93:U93" si="57">E87/E90</f>
        <v>22.555903588381597</v>
      </c>
      <c r="F93" s="185">
        <f t="shared" si="57"/>
        <v>21.874470195332016</v>
      </c>
      <c r="G93" s="185">
        <f t="shared" si="57"/>
        <v>20.239225006888162</v>
      </c>
      <c r="H93" s="185">
        <f t="shared" si="57"/>
        <v>20.197862952959387</v>
      </c>
      <c r="I93" s="185">
        <f t="shared" si="57"/>
        <v>22.907181472423584</v>
      </c>
      <c r="J93" s="185">
        <f t="shared" si="57"/>
        <v>21.421248706342244</v>
      </c>
      <c r="K93" s="185">
        <f t="shared" si="57"/>
        <v>21.273261764324921</v>
      </c>
      <c r="L93" s="185">
        <f t="shared" si="57"/>
        <v>21.640883593690177</v>
      </c>
      <c r="M93" s="185">
        <f t="shared" si="57"/>
        <v>22.258327056508335</v>
      </c>
      <c r="N93" s="185">
        <f t="shared" si="57"/>
        <v>20.625433896817938</v>
      </c>
      <c r="O93" s="185">
        <f t="shared" si="57"/>
        <v>19.330869498472872</v>
      </c>
      <c r="P93" s="185">
        <f t="shared" si="57"/>
        <v>19.15422035406193</v>
      </c>
      <c r="Q93" s="185">
        <f t="shared" si="57"/>
        <v>20.487596007879038</v>
      </c>
      <c r="R93" s="185">
        <f t="shared" si="57"/>
        <v>21.092915917875093</v>
      </c>
      <c r="S93" s="185">
        <f t="shared" si="57"/>
        <v>19.9491827166053</v>
      </c>
      <c r="T93" s="185">
        <f t="shared" si="57"/>
        <v>18.753061217703081</v>
      </c>
      <c r="U93" s="185">
        <f t="shared" si="57"/>
        <v>17.61778779135167</v>
      </c>
      <c r="V93" s="185">
        <f>V87/V90</f>
        <v>17.896581783704793</v>
      </c>
      <c r="W93" s="220">
        <f>W87/W90</f>
        <v>18.044683363903292</v>
      </c>
    </row>
    <row r="94" spans="1:23" ht="17.45" customHeight="1">
      <c r="A94" s="160" t="s">
        <v>132</v>
      </c>
      <c r="E94" s="185">
        <f t="shared" ref="E94:T94" si="58">E93/0.73</f>
        <v>30.898498066276161</v>
      </c>
      <c r="F94" s="185">
        <f t="shared" si="58"/>
        <v>29.965027664838377</v>
      </c>
      <c r="G94" s="185">
        <f t="shared" si="58"/>
        <v>27.724965762860496</v>
      </c>
      <c r="H94" s="185">
        <f t="shared" si="58"/>
        <v>27.66830541501286</v>
      </c>
      <c r="I94" s="185">
        <f t="shared" si="58"/>
        <v>31.379700647155595</v>
      </c>
      <c r="J94" s="185">
        <f t="shared" si="58"/>
        <v>29.344176310057868</v>
      </c>
      <c r="K94" s="185">
        <f t="shared" si="58"/>
        <v>29.141454471677974</v>
      </c>
      <c r="L94" s="185">
        <f t="shared" si="58"/>
        <v>29.645046018753668</v>
      </c>
      <c r="M94" s="185">
        <f t="shared" si="58"/>
        <v>30.490858981518269</v>
      </c>
      <c r="N94" s="185">
        <f t="shared" si="58"/>
        <v>28.254019036736903</v>
      </c>
      <c r="O94" s="185">
        <f t="shared" si="58"/>
        <v>26.480643148592975</v>
      </c>
      <c r="P94" s="185">
        <f t="shared" si="58"/>
        <v>26.238658019262918</v>
      </c>
      <c r="Q94" s="185">
        <f t="shared" si="58"/>
        <v>28.065200010793202</v>
      </c>
      <c r="R94" s="185">
        <f t="shared" si="58"/>
        <v>28.894405366952181</v>
      </c>
      <c r="S94" s="185">
        <f t="shared" si="58"/>
        <v>27.327647556993561</v>
      </c>
      <c r="T94" s="185">
        <f t="shared" si="58"/>
        <v>25.689124955757645</v>
      </c>
      <c r="U94" s="185">
        <f>U93/0.73</f>
        <v>24.133955878563931</v>
      </c>
      <c r="V94" s="185">
        <f>V93/0.73</f>
        <v>24.515865457129856</v>
      </c>
      <c r="W94" s="220">
        <f>W93/0.73</f>
        <v>24.718744334114099</v>
      </c>
    </row>
    <row r="95" spans="1:23" ht="17.45" customHeight="1">
      <c r="A95" s="160" t="s">
        <v>133</v>
      </c>
      <c r="E95" s="185">
        <f t="shared" ref="E95:T95" si="59">E94*2.2046</f>
        <v>68.118828836912428</v>
      </c>
      <c r="F95" s="185">
        <f t="shared" si="59"/>
        <v>66.060899989902694</v>
      </c>
      <c r="G95" s="185">
        <f t="shared" si="59"/>
        <v>61.122459520802252</v>
      </c>
      <c r="H95" s="185">
        <f t="shared" si="59"/>
        <v>60.997546117937354</v>
      </c>
      <c r="I95" s="185">
        <f t="shared" si="59"/>
        <v>69.179688046719221</v>
      </c>
      <c r="J95" s="185">
        <f t="shared" si="59"/>
        <v>64.692171093153576</v>
      </c>
      <c r="K95" s="185">
        <f t="shared" si="59"/>
        <v>64.245250528261266</v>
      </c>
      <c r="L95" s="185">
        <f t="shared" si="59"/>
        <v>65.355468452944336</v>
      </c>
      <c r="M95" s="185">
        <f t="shared" si="59"/>
        <v>67.220147710655183</v>
      </c>
      <c r="N95" s="185">
        <f t="shared" si="59"/>
        <v>62.28881036839018</v>
      </c>
      <c r="O95" s="185">
        <f t="shared" si="59"/>
        <v>58.379225885388074</v>
      </c>
      <c r="P95" s="185">
        <f t="shared" si="59"/>
        <v>57.84574546926703</v>
      </c>
      <c r="Q95" s="185">
        <f t="shared" si="59"/>
        <v>61.872539943794699</v>
      </c>
      <c r="R95" s="185">
        <f t="shared" si="59"/>
        <v>63.700606071982783</v>
      </c>
      <c r="S95" s="185">
        <f t="shared" si="59"/>
        <v>60.246531804148006</v>
      </c>
      <c r="T95" s="185">
        <f t="shared" si="59"/>
        <v>56.63424487746331</v>
      </c>
      <c r="U95" s="185">
        <f>U94*2.2046</f>
        <v>53.205719129882048</v>
      </c>
      <c r="V95" s="185">
        <f>V94*2.2046</f>
        <v>54.047676986788481</v>
      </c>
      <c r="W95" s="220">
        <f>W94*2.2046</f>
        <v>54.494943758987944</v>
      </c>
    </row>
    <row r="96" spans="1:23" ht="17.45" customHeight="1">
      <c r="A96" s="178"/>
      <c r="E96" s="178"/>
      <c r="F96" s="178"/>
      <c r="G96" s="178"/>
      <c r="H96" s="178"/>
      <c r="I96" s="178"/>
      <c r="J96" s="178"/>
      <c r="K96" s="178"/>
      <c r="L96" s="178"/>
      <c r="M96" s="178"/>
      <c r="N96" s="178"/>
      <c r="O96" s="178"/>
      <c r="P96" s="178"/>
      <c r="Q96" s="178"/>
      <c r="R96" s="178"/>
      <c r="S96" s="178"/>
      <c r="T96" s="178"/>
      <c r="U96" s="186"/>
    </row>
    <row r="97" spans="1:24" ht="17.45" customHeight="1">
      <c r="A97" s="160" t="s">
        <v>65</v>
      </c>
      <c r="E97" s="178"/>
      <c r="F97" s="178"/>
      <c r="G97" s="178">
        <v>69.099999999999994</v>
      </c>
      <c r="H97" s="187">
        <v>68.220689255405247</v>
      </c>
      <c r="I97" s="187">
        <v>73.19100291079863</v>
      </c>
      <c r="J97" s="187">
        <v>68.425114669018072</v>
      </c>
      <c r="K97" s="187">
        <v>67.407124387143213</v>
      </c>
      <c r="L97" s="187">
        <v>67.217485959228711</v>
      </c>
      <c r="M97" s="187">
        <v>68.243032578780827</v>
      </c>
      <c r="N97" s="188">
        <v>64.829161985046554</v>
      </c>
      <c r="O97" s="188">
        <v>64.208740913483993</v>
      </c>
      <c r="P97" s="188">
        <v>61.407675609337225</v>
      </c>
      <c r="Q97" s="188">
        <v>61.379272020265198</v>
      </c>
      <c r="R97" s="188">
        <v>63.030611416675988</v>
      </c>
      <c r="S97" s="188">
        <v>60.417684424899463</v>
      </c>
      <c r="T97" s="178">
        <v>59</v>
      </c>
      <c r="U97" s="186"/>
    </row>
    <row r="98" spans="1:24" ht="17.45" customHeight="1">
      <c r="A98" s="160" t="s">
        <v>66</v>
      </c>
      <c r="B98" s="189">
        <v>31.45</v>
      </c>
      <c r="C98" s="189">
        <v>31.46</v>
      </c>
      <c r="D98" s="189">
        <v>31.94</v>
      </c>
      <c r="E98" s="190">
        <v>32.6</v>
      </c>
      <c r="F98" s="190">
        <v>32.020000000000003</v>
      </c>
      <c r="G98" s="190">
        <v>30.75</v>
      </c>
      <c r="H98" s="183">
        <v>30.58</v>
      </c>
      <c r="I98" s="183">
        <v>32.4</v>
      </c>
      <c r="J98" s="183">
        <v>30.82</v>
      </c>
      <c r="K98" s="183">
        <v>30.29</v>
      </c>
      <c r="L98" s="183">
        <v>29.94</v>
      </c>
      <c r="M98" s="183">
        <v>30.6</v>
      </c>
      <c r="N98" s="191">
        <v>29.76</v>
      </c>
      <c r="O98" s="191">
        <v>28.28</v>
      </c>
      <c r="P98" s="191">
        <v>27.88</v>
      </c>
      <c r="Q98" s="191">
        <v>27.26</v>
      </c>
      <c r="R98" s="191">
        <v>27.6</v>
      </c>
      <c r="S98" s="191">
        <v>27.34</v>
      </c>
      <c r="T98" s="190">
        <v>26.44</v>
      </c>
      <c r="U98" s="192">
        <v>24.4</v>
      </c>
      <c r="V98" s="156"/>
    </row>
    <row r="99" spans="1:24" ht="17.45" customHeight="1">
      <c r="A99" s="178" t="s">
        <v>154</v>
      </c>
      <c r="E99" s="149">
        <f t="shared" ref="E99:T99" si="60">E98-E94</f>
        <v>1.70150193372384</v>
      </c>
      <c r="F99" s="149">
        <f t="shared" si="60"/>
        <v>2.0549723351616258</v>
      </c>
      <c r="G99" s="149">
        <f t="shared" si="60"/>
        <v>3.0250342371395043</v>
      </c>
      <c r="H99" s="149">
        <f t="shared" si="60"/>
        <v>2.9116945849871385</v>
      </c>
      <c r="I99" s="149">
        <f t="shared" si="60"/>
        <v>1.020299352844404</v>
      </c>
      <c r="J99" s="149">
        <f t="shared" si="60"/>
        <v>1.475823689942132</v>
      </c>
      <c r="K99" s="149">
        <f t="shared" si="60"/>
        <v>1.1485455283220247</v>
      </c>
      <c r="L99" s="149">
        <f t="shared" si="60"/>
        <v>0.29495398124633354</v>
      </c>
      <c r="M99" s="149">
        <f t="shared" si="60"/>
        <v>0.10914101848173274</v>
      </c>
      <c r="N99" s="149">
        <f t="shared" si="60"/>
        <v>1.5059809632630987</v>
      </c>
      <c r="O99" s="149">
        <f t="shared" si="60"/>
        <v>1.7993568514070262</v>
      </c>
      <c r="P99" s="149">
        <f t="shared" si="60"/>
        <v>1.6413419807370815</v>
      </c>
      <c r="Q99" s="149">
        <f t="shared" si="60"/>
        <v>-0.80520001079320025</v>
      </c>
      <c r="R99" s="149">
        <f t="shared" si="60"/>
        <v>-1.29440536695218</v>
      </c>
      <c r="S99" s="149">
        <f t="shared" si="60"/>
        <v>1.2352443006438563E-2</v>
      </c>
      <c r="T99" s="149">
        <f t="shared" si="60"/>
        <v>0.75087504424235618</v>
      </c>
      <c r="U99" s="149">
        <f>U98-U94</f>
        <v>0.26604412143606737</v>
      </c>
      <c r="W99" s="135"/>
      <c r="X99" s="135"/>
    </row>
    <row r="100" spans="1:24" ht="17.45" customHeight="1">
      <c r="A100" s="193" t="s">
        <v>67</v>
      </c>
    </row>
    <row r="101" spans="1:24" ht="17.45" customHeight="1">
      <c r="A101" s="160" t="s">
        <v>134</v>
      </c>
      <c r="F101" s="149">
        <f t="shared" ref="F101:O101" si="61">F64</f>
        <v>1030.7252055626172</v>
      </c>
      <c r="G101" s="149">
        <f t="shared" si="61"/>
        <v>1077.8782384377967</v>
      </c>
      <c r="H101" s="149">
        <f t="shared" si="61"/>
        <v>1171.5997848216891</v>
      </c>
      <c r="I101" s="149">
        <f t="shared" si="61"/>
        <v>896.86568993601202</v>
      </c>
      <c r="J101" s="149">
        <f t="shared" si="61"/>
        <v>1031.3890501140947</v>
      </c>
      <c r="K101" s="149">
        <f t="shared" si="61"/>
        <v>1147.1242992987782</v>
      </c>
      <c r="L101" s="149">
        <f t="shared" si="61"/>
        <v>1148.9295086193388</v>
      </c>
      <c r="M101" s="149">
        <f t="shared" si="61"/>
        <v>1205.0151330754063</v>
      </c>
      <c r="N101" s="149">
        <f t="shared" si="61"/>
        <v>1227.1473241075671</v>
      </c>
      <c r="O101" s="149">
        <f t="shared" si="61"/>
        <v>1077.9271471927009</v>
      </c>
      <c r="P101" s="149">
        <f t="shared" ref="P101:Q101" si="62">P64</f>
        <v>1092.8199972662935</v>
      </c>
      <c r="Q101" s="149">
        <f t="shared" si="62"/>
        <v>935.95963121514649</v>
      </c>
      <c r="R101" s="149">
        <f>R64</f>
        <v>909.275751974684</v>
      </c>
      <c r="S101" s="149">
        <f>S64</f>
        <v>933.05720102748967</v>
      </c>
      <c r="T101" s="149">
        <f>T64</f>
        <v>1080.9131616771674</v>
      </c>
      <c r="U101" s="149">
        <f>U64</f>
        <v>972.96669422117918</v>
      </c>
      <c r="V101" s="149">
        <f>V64</f>
        <v>974.95465421940605</v>
      </c>
      <c r="W101" s="259"/>
    </row>
    <row r="102" spans="1:24" ht="17.45" customHeight="1">
      <c r="A102" s="160" t="s">
        <v>68</v>
      </c>
      <c r="F102" s="146">
        <f t="shared" ref="F102:O103" si="63">F50+F51</f>
        <v>145.88211158940396</v>
      </c>
      <c r="G102" s="146">
        <f t="shared" si="63"/>
        <v>188.22810761589403</v>
      </c>
      <c r="H102" s="146">
        <f t="shared" si="63"/>
        <v>159.29642615894039</v>
      </c>
      <c r="I102" s="146">
        <f t="shared" si="63"/>
        <v>53.853066556291388</v>
      </c>
      <c r="J102" s="146">
        <f t="shared" si="63"/>
        <v>0</v>
      </c>
      <c r="K102" s="146">
        <f t="shared" si="63"/>
        <v>84.548206291390713</v>
      </c>
      <c r="L102" s="146">
        <f t="shared" si="63"/>
        <v>189.29025066225162</v>
      </c>
      <c r="M102" s="146">
        <f t="shared" si="63"/>
        <v>226.36811777105959</v>
      </c>
      <c r="N102" s="146">
        <f t="shared" si="63"/>
        <v>179.01837341735097</v>
      </c>
      <c r="O102" s="146">
        <f t="shared" si="63"/>
        <v>141.84646357615895</v>
      </c>
      <c r="P102" s="146">
        <f t="shared" ref="P102:Q102" si="64">P50+P51</f>
        <v>169.20215364238408</v>
      </c>
      <c r="Q102" s="146">
        <f t="shared" si="64"/>
        <v>119.51729006622514</v>
      </c>
      <c r="R102" s="146">
        <f>R50+R51</f>
        <v>121.9497513245033</v>
      </c>
      <c r="S102" s="146">
        <f>S50+S51</f>
        <v>98.703942384105943</v>
      </c>
      <c r="T102" s="146">
        <f>T50+T51</f>
        <v>111.160928</v>
      </c>
      <c r="U102" s="146">
        <f>U50+U51</f>
        <v>66.713943</v>
      </c>
      <c r="V102" s="146">
        <f>V50+V51</f>
        <v>96.619863576158934</v>
      </c>
    </row>
    <row r="103" spans="1:24" ht="17.45" customHeight="1">
      <c r="A103" s="160" t="s">
        <v>135</v>
      </c>
      <c r="F103" s="194">
        <f>F102/F101</f>
        <v>0.14153346673013084</v>
      </c>
      <c r="G103" s="194">
        <f t="shared" ref="G103:V103" si="65">G102/G101</f>
        <v>0.17462835866201273</v>
      </c>
      <c r="H103" s="194">
        <f t="shared" si="65"/>
        <v>0.13596488171358312</v>
      </c>
      <c r="I103" s="194">
        <f t="shared" si="65"/>
        <v>6.0045854313072897E-2</v>
      </c>
      <c r="J103" s="194">
        <f t="shared" si="65"/>
        <v>0</v>
      </c>
      <c r="K103" s="194">
        <f t="shared" si="65"/>
        <v>7.37044855061251E-2</v>
      </c>
      <c r="L103" s="194">
        <f t="shared" si="65"/>
        <v>0.16475358082648647</v>
      </c>
      <c r="M103" s="194">
        <f t="shared" si="65"/>
        <v>0.18785499995616581</v>
      </c>
      <c r="N103" s="194">
        <f t="shared" si="65"/>
        <v>0.14588172903163085</v>
      </c>
      <c r="O103" s="194">
        <f t="shared" si="65"/>
        <v>0.13159188350119647</v>
      </c>
      <c r="P103" s="194">
        <f t="shared" si="65"/>
        <v>0.15483076267422444</v>
      </c>
      <c r="Q103" s="194">
        <f t="shared" si="65"/>
        <v>0.1276949198236863</v>
      </c>
      <c r="R103" s="194">
        <f t="shared" si="65"/>
        <v>0.13411745673373968</v>
      </c>
      <c r="S103" s="194">
        <f t="shared" si="65"/>
        <v>0.10578552126859148</v>
      </c>
      <c r="T103" s="194">
        <f t="shared" si="65"/>
        <v>0.1028398320430481</v>
      </c>
      <c r="U103" s="194">
        <f t="shared" si="65"/>
        <v>6.8567550560815274E-2</v>
      </c>
      <c r="V103" s="194">
        <f t="shared" si="65"/>
        <v>9.9101905055796954E-2</v>
      </c>
      <c r="W103" s="195"/>
    </row>
    <row r="104" spans="1:24" ht="17.45" customHeight="1">
      <c r="A104" s="160" t="s">
        <v>69</v>
      </c>
      <c r="F104" s="149">
        <f t="shared" ref="F104:O104" si="66">F52+F53</f>
        <v>52.337032450331122</v>
      </c>
      <c r="G104" s="149">
        <f t="shared" si="66"/>
        <v>75.37208476821192</v>
      </c>
      <c r="H104" s="149">
        <f t="shared" si="66"/>
        <v>104.15397350993376</v>
      </c>
      <c r="I104" s="149">
        <f t="shared" si="66"/>
        <v>37.202959602649003</v>
      </c>
      <c r="J104" s="149">
        <f t="shared" si="66"/>
        <v>0</v>
      </c>
      <c r="K104" s="149">
        <f t="shared" si="66"/>
        <v>0.77808774834437089</v>
      </c>
      <c r="L104" s="149">
        <f t="shared" si="66"/>
        <v>0.30771920529801322</v>
      </c>
      <c r="M104" s="149">
        <f t="shared" si="66"/>
        <v>2.6821218543046355</v>
      </c>
      <c r="N104" s="149">
        <f t="shared" si="66"/>
        <v>57.862200240000007</v>
      </c>
      <c r="O104" s="149">
        <f t="shared" si="66"/>
        <v>57.206839735099344</v>
      </c>
      <c r="P104" s="149">
        <f t="shared" ref="P104:Q104" si="67">P52+P53</f>
        <v>50.103466887417213</v>
      </c>
      <c r="Q104" s="149">
        <f t="shared" si="67"/>
        <v>32.910340728476811</v>
      </c>
      <c r="R104" s="149">
        <f>R52+R53</f>
        <v>49.318092052980134</v>
      </c>
      <c r="S104" s="149">
        <f>S52+S53</f>
        <v>73.886912582781449</v>
      </c>
      <c r="T104" s="149">
        <f>T52+T53</f>
        <v>76.206426000000008</v>
      </c>
      <c r="U104" s="149">
        <f>U52+U53</f>
        <v>60.184944000000002</v>
      </c>
      <c r="V104" s="149">
        <f>V52+V53</f>
        <v>55.949811920529797</v>
      </c>
      <c r="W104" s="195"/>
    </row>
    <row r="105" spans="1:24" ht="17.45" customHeight="1">
      <c r="A105" s="160" t="s">
        <v>136</v>
      </c>
      <c r="F105" s="196">
        <f t="shared" ref="F105:U105" si="68">F104/F101</f>
        <v>5.0776901707534322E-2</v>
      </c>
      <c r="G105" s="196">
        <f t="shared" si="68"/>
        <v>6.9926344257075904E-2</v>
      </c>
      <c r="H105" s="196">
        <f t="shared" si="68"/>
        <v>8.8898935335486942E-2</v>
      </c>
      <c r="I105" s="196">
        <f t="shared" si="68"/>
        <v>4.1481082418598589E-2</v>
      </c>
      <c r="J105" s="196">
        <f t="shared" si="68"/>
        <v>0</v>
      </c>
      <c r="K105" s="196">
        <f t="shared" si="68"/>
        <v>6.7829419080391343E-4</v>
      </c>
      <c r="L105" s="196">
        <f t="shared" si="68"/>
        <v>2.6783123158512782E-4</v>
      </c>
      <c r="M105" s="196">
        <f t="shared" si="68"/>
        <v>2.2257993121292995E-3</v>
      </c>
      <c r="N105" s="196">
        <f t="shared" si="68"/>
        <v>4.7151795960668229E-2</v>
      </c>
      <c r="O105" s="196">
        <f t="shared" si="68"/>
        <v>5.307115595342965E-2</v>
      </c>
      <c r="P105" s="196">
        <f t="shared" si="68"/>
        <v>4.584786791306146E-2</v>
      </c>
      <c r="Q105" s="196">
        <f t="shared" si="68"/>
        <v>3.5162136945745902E-2</v>
      </c>
      <c r="R105" s="196">
        <f t="shared" si="68"/>
        <v>5.4238873021605932E-2</v>
      </c>
      <c r="S105" s="196">
        <f t="shared" si="68"/>
        <v>7.9187977437413931E-2</v>
      </c>
      <c r="T105" s="196">
        <f t="shared" si="68"/>
        <v>7.0501894788436589E-2</v>
      </c>
      <c r="U105" s="196">
        <f t="shared" si="68"/>
        <v>6.1857147174164719E-2</v>
      </c>
      <c r="V105" s="196">
        <f>V104/V101</f>
        <v>5.7387091469731803E-2</v>
      </c>
      <c r="W105" s="195"/>
    </row>
    <row r="106" spans="1:24" ht="17.45" customHeight="1">
      <c r="A106" s="160" t="s">
        <v>137</v>
      </c>
      <c r="F106" s="149">
        <f t="shared" ref="F106:O106" si="69">F61</f>
        <v>26.661471854304633</v>
      </c>
      <c r="G106" s="149">
        <f t="shared" si="69"/>
        <v>42.145542052980133</v>
      </c>
      <c r="H106" s="149">
        <f t="shared" si="69"/>
        <v>119.62181225165561</v>
      </c>
      <c r="I106" s="149">
        <f t="shared" si="69"/>
        <v>24.536408686390295</v>
      </c>
      <c r="J106" s="149">
        <f t="shared" si="69"/>
        <v>0</v>
      </c>
      <c r="K106" s="149">
        <f t="shared" si="69"/>
        <v>60.787310596026479</v>
      </c>
      <c r="L106" s="149">
        <f t="shared" si="69"/>
        <v>83.261820529801312</v>
      </c>
      <c r="M106" s="149">
        <f t="shared" si="69"/>
        <v>145.03977463331125</v>
      </c>
      <c r="N106" s="149">
        <f t="shared" si="69"/>
        <v>168.41053733403976</v>
      </c>
      <c r="O106" s="149">
        <f t="shared" si="69"/>
        <v>75.658801324503301</v>
      </c>
      <c r="P106" s="149">
        <f t="shared" ref="P106:Q106" si="70">P61</f>
        <v>58.145591721854302</v>
      </c>
      <c r="Q106" s="149">
        <f t="shared" si="70"/>
        <v>27.082018543046356</v>
      </c>
      <c r="R106" s="149">
        <f>R61</f>
        <v>46.421768543046355</v>
      </c>
      <c r="S106" s="149">
        <f>S61</f>
        <v>98.538164238410587</v>
      </c>
      <c r="T106" s="149">
        <f>T61</f>
        <v>131.299012</v>
      </c>
      <c r="U106" s="149">
        <f>U61</f>
        <v>93.698514000000003</v>
      </c>
      <c r="V106" s="149">
        <f>V61</f>
        <v>56.487424503311253</v>
      </c>
      <c r="W106" s="195"/>
    </row>
    <row r="107" spans="1:24" ht="17.45" customHeight="1">
      <c r="A107" s="160" t="s">
        <v>138</v>
      </c>
      <c r="F107" s="196">
        <f t="shared" ref="F107:V107" si="71">F106/F101</f>
        <v>2.5866711816513281E-2</v>
      </c>
      <c r="G107" s="196">
        <f t="shared" si="71"/>
        <v>3.9100466592648729E-2</v>
      </c>
      <c r="H107" s="196">
        <f t="shared" si="71"/>
        <v>0.10210125829773976</v>
      </c>
      <c r="I107" s="196">
        <f t="shared" si="71"/>
        <v>2.735795221260039E-2</v>
      </c>
      <c r="J107" s="196">
        <f t="shared" si="71"/>
        <v>0</v>
      </c>
      <c r="K107" s="196">
        <f t="shared" si="71"/>
        <v>5.2991040842901641E-2</v>
      </c>
      <c r="L107" s="196">
        <f t="shared" si="71"/>
        <v>7.2469041751618432E-2</v>
      </c>
      <c r="M107" s="196">
        <f t="shared" si="71"/>
        <v>0.12036344660929257</v>
      </c>
      <c r="N107" s="196">
        <f t="shared" si="71"/>
        <v>0.13723742375962475</v>
      </c>
      <c r="O107" s="196">
        <f t="shared" si="71"/>
        <v>7.0189160298583506E-2</v>
      </c>
      <c r="P107" s="196">
        <f t="shared" si="71"/>
        <v>5.320692508126354E-2</v>
      </c>
      <c r="Q107" s="196">
        <f t="shared" si="71"/>
        <v>2.8935028434811935E-2</v>
      </c>
      <c r="R107" s="196">
        <f t="shared" si="71"/>
        <v>5.105356482038776E-2</v>
      </c>
      <c r="S107" s="196">
        <f t="shared" si="71"/>
        <v>0.10560784926143822</v>
      </c>
      <c r="T107" s="196">
        <f t="shared" si="71"/>
        <v>0.12147045355269218</v>
      </c>
      <c r="U107" s="196">
        <f t="shared" si="71"/>
        <v>9.6301871951538803E-2</v>
      </c>
      <c r="V107" s="196">
        <f t="shared" si="71"/>
        <v>5.793851463639374E-2</v>
      </c>
      <c r="W107" s="195"/>
    </row>
    <row r="108" spans="1:24" ht="17.45" customHeight="1">
      <c r="A108" s="160" t="s">
        <v>71</v>
      </c>
      <c r="F108" s="144">
        <f t="shared" ref="F108:O108" si="72">F77/1000</f>
        <v>318.464</v>
      </c>
      <c r="G108" s="144">
        <f t="shared" si="72"/>
        <v>355.94200000000001</v>
      </c>
      <c r="H108" s="144">
        <f t="shared" si="72"/>
        <v>363.45299999999997</v>
      </c>
      <c r="I108" s="144">
        <f t="shared" si="72"/>
        <v>253.499</v>
      </c>
      <c r="J108" s="144">
        <f t="shared" si="72"/>
        <v>336.714</v>
      </c>
      <c r="K108" s="144">
        <f t="shared" si="72"/>
        <v>370.74200000000002</v>
      </c>
      <c r="L108" s="144">
        <f t="shared" si="72"/>
        <v>294.73399999999998</v>
      </c>
      <c r="M108" s="144">
        <f t="shared" si="72"/>
        <v>280.53699999999998</v>
      </c>
      <c r="N108" s="144">
        <f t="shared" si="72"/>
        <v>300.44200000000001</v>
      </c>
      <c r="O108" s="144">
        <f t="shared" si="72"/>
        <v>319.20600000000002</v>
      </c>
      <c r="P108" s="144">
        <f t="shared" ref="P108:Q108" si="73">P77/1000</f>
        <v>307.78199999999998</v>
      </c>
      <c r="Q108" s="144">
        <f t="shared" si="73"/>
        <v>249.95</v>
      </c>
      <c r="R108" s="144">
        <f>R77/1000</f>
        <v>197.37799999999999</v>
      </c>
      <c r="S108" s="144">
        <f>S77/1000</f>
        <v>197.58699999999999</v>
      </c>
      <c r="T108" s="144">
        <f>T77/1000</f>
        <v>222.00399999999999</v>
      </c>
      <c r="U108" s="144">
        <f>U77/1000</f>
        <v>230.197</v>
      </c>
      <c r="V108" s="144">
        <f>V77/1000</f>
        <v>269.84199999999998</v>
      </c>
    </row>
    <row r="109" spans="1:24" ht="17.45" customHeight="1">
      <c r="A109" s="160" t="s">
        <v>139</v>
      </c>
      <c r="F109" s="194">
        <f t="shared" ref="F109:U109" si="74">F108/F101</f>
        <v>0.30897080839908991</v>
      </c>
      <c r="G109" s="194">
        <f t="shared" si="74"/>
        <v>0.33022468337043165</v>
      </c>
      <c r="H109" s="194">
        <f t="shared" si="74"/>
        <v>0.31021941511820561</v>
      </c>
      <c r="I109" s="194">
        <f t="shared" si="74"/>
        <v>0.28264990270514884</v>
      </c>
      <c r="J109" s="194">
        <f t="shared" si="74"/>
        <v>0.32646652585923019</v>
      </c>
      <c r="K109" s="194">
        <f t="shared" si="74"/>
        <v>0.32319252606420218</v>
      </c>
      <c r="L109" s="194">
        <f t="shared" si="74"/>
        <v>0.25652922811093948</v>
      </c>
      <c r="M109" s="194">
        <f t="shared" si="74"/>
        <v>0.23280786464815692</v>
      </c>
      <c r="N109" s="194">
        <f t="shared" si="74"/>
        <v>0.24482960936943249</v>
      </c>
      <c r="O109" s="194">
        <f t="shared" si="74"/>
        <v>0.29612947482705487</v>
      </c>
      <c r="P109" s="194">
        <f t="shared" si="74"/>
        <v>0.28164016102370154</v>
      </c>
      <c r="Q109" s="194">
        <f t="shared" si="74"/>
        <v>0.26705211599296497</v>
      </c>
      <c r="R109" s="194">
        <f t="shared" si="74"/>
        <v>0.21707166343251982</v>
      </c>
      <c r="S109" s="194">
        <f t="shared" si="74"/>
        <v>0.21176300850839122</v>
      </c>
      <c r="T109" s="194">
        <f t="shared" si="74"/>
        <v>0.20538560161071029</v>
      </c>
      <c r="U109" s="194">
        <f t="shared" si="74"/>
        <v>0.23659288788324195</v>
      </c>
      <c r="V109" s="194">
        <f>V108/V101</f>
        <v>0.27677389797789931</v>
      </c>
    </row>
    <row r="110" spans="1:24" ht="17.45" customHeight="1">
      <c r="A110" s="160" t="s">
        <v>72</v>
      </c>
      <c r="F110" s="197">
        <f t="shared" ref="F110:O110" si="75">F78/1000</f>
        <v>53.189</v>
      </c>
      <c r="G110" s="144">
        <f t="shared" si="75"/>
        <v>69.674000000000007</v>
      </c>
      <c r="H110" s="144">
        <f t="shared" si="75"/>
        <v>77.887</v>
      </c>
      <c r="I110" s="144">
        <f t="shared" si="75"/>
        <v>29.442</v>
      </c>
      <c r="J110" s="144">
        <f t="shared" si="75"/>
        <v>87.037000000000006</v>
      </c>
      <c r="K110" s="144">
        <f t="shared" si="75"/>
        <v>52.064</v>
      </c>
      <c r="L110" s="144">
        <f t="shared" si="75"/>
        <v>41.664000000000001</v>
      </c>
      <c r="M110" s="144">
        <f t="shared" si="75"/>
        <v>45.661000000000001</v>
      </c>
      <c r="N110" s="144">
        <f t="shared" si="75"/>
        <v>47.23</v>
      </c>
      <c r="O110" s="144">
        <f t="shared" si="75"/>
        <v>36.436999999999998</v>
      </c>
      <c r="P110" s="144">
        <f t="shared" ref="P110:Q110" si="76">P78/1000</f>
        <v>38.548000000000002</v>
      </c>
      <c r="Q110" s="144">
        <f t="shared" si="76"/>
        <v>26.859000000000002</v>
      </c>
      <c r="R110" s="144">
        <f>R78/1000</f>
        <v>19.114000000000001</v>
      </c>
      <c r="S110" s="144">
        <f>S78/1000</f>
        <v>20.902000000000001</v>
      </c>
      <c r="T110" s="144">
        <f>T78/1000</f>
        <v>20.41</v>
      </c>
      <c r="U110" s="144">
        <f>U78/1000</f>
        <v>19.835999999999999</v>
      </c>
      <c r="V110" s="144">
        <f>V78/1000</f>
        <v>16.143000000000001</v>
      </c>
    </row>
    <row r="111" spans="1:24" ht="17.45" customHeight="1">
      <c r="A111" s="160" t="s">
        <v>140</v>
      </c>
      <c r="F111" s="194">
        <f t="shared" ref="F111:V111" si="77">F110/F101</f>
        <v>5.1603472693739938E-2</v>
      </c>
      <c r="G111" s="194">
        <f t="shared" si="77"/>
        <v>6.4639954231732855E-2</v>
      </c>
      <c r="H111" s="194">
        <f t="shared" si="77"/>
        <v>6.6479185989142153E-2</v>
      </c>
      <c r="I111" s="194">
        <f t="shared" si="77"/>
        <v>3.2827657842614738E-2</v>
      </c>
      <c r="J111" s="194">
        <f t="shared" si="77"/>
        <v>8.4388136552711865E-2</v>
      </c>
      <c r="K111" s="194">
        <f t="shared" si="77"/>
        <v>4.5386537476214246E-2</v>
      </c>
      <c r="L111" s="194">
        <f t="shared" si="77"/>
        <v>3.6263321367789883E-2</v>
      </c>
      <c r="M111" s="194">
        <f t="shared" si="77"/>
        <v>3.7892470182897424E-2</v>
      </c>
      <c r="N111" s="194">
        <f t="shared" si="77"/>
        <v>3.8487636384121712E-2</v>
      </c>
      <c r="O111" s="194">
        <f t="shared" si="77"/>
        <v>3.3802841031413566E-2</v>
      </c>
      <c r="P111" s="194">
        <f t="shared" si="77"/>
        <v>3.5273878677575844E-2</v>
      </c>
      <c r="Q111" s="194">
        <f t="shared" si="77"/>
        <v>2.8696750483916969E-2</v>
      </c>
      <c r="R111" s="194">
        <f t="shared" si="77"/>
        <v>2.102112583392873E-2</v>
      </c>
      <c r="S111" s="194">
        <f t="shared" si="77"/>
        <v>2.2401627656892374E-2</v>
      </c>
      <c r="T111" s="194">
        <f t="shared" si="77"/>
        <v>1.8882182883527311E-2</v>
      </c>
      <c r="U111" s="194">
        <f t="shared" si="77"/>
        <v>2.0387131561453827E-2</v>
      </c>
      <c r="V111" s="194">
        <f t="shared" si="77"/>
        <v>1.6557693150277678E-2</v>
      </c>
    </row>
    <row r="112" spans="1:24" ht="17.45" customHeight="1">
      <c r="A112" s="160" t="s">
        <v>73</v>
      </c>
      <c r="F112" s="155">
        <f t="shared" ref="F112:O112" si="78">F79/1000</f>
        <v>74.263000000000005</v>
      </c>
      <c r="G112" s="155">
        <f t="shared" si="78"/>
        <v>64.11</v>
      </c>
      <c r="H112" s="155">
        <f t="shared" si="78"/>
        <v>76.278999999999996</v>
      </c>
      <c r="I112" s="155">
        <f t="shared" si="78"/>
        <v>41.823999999999998</v>
      </c>
      <c r="J112" s="155">
        <f t="shared" si="78"/>
        <v>30.911000000000001</v>
      </c>
      <c r="K112" s="155">
        <f t="shared" si="78"/>
        <v>35.570999999999998</v>
      </c>
      <c r="L112" s="155">
        <f t="shared" si="78"/>
        <v>31.745000000000001</v>
      </c>
      <c r="M112" s="155">
        <f t="shared" si="78"/>
        <v>36.612000000000002</v>
      </c>
      <c r="N112" s="155">
        <f t="shared" si="78"/>
        <v>45.307000000000002</v>
      </c>
      <c r="O112" s="155">
        <f t="shared" si="78"/>
        <v>58.707999999999998</v>
      </c>
      <c r="P112" s="155">
        <f t="shared" ref="P112:Q112" si="79">P79/1000</f>
        <v>75.293000000000006</v>
      </c>
      <c r="Q112" s="155">
        <f t="shared" si="79"/>
        <v>35.21</v>
      </c>
      <c r="R112" s="155">
        <f>R79/1000</f>
        <v>36.868000000000002</v>
      </c>
      <c r="S112" s="155">
        <f>S79/1000</f>
        <v>41.594999999999999</v>
      </c>
      <c r="T112" s="155">
        <f>T79/1000</f>
        <v>54.637</v>
      </c>
      <c r="U112" s="155">
        <f>U79/1000</f>
        <v>72.497</v>
      </c>
      <c r="V112" s="155">
        <f>V79/1000</f>
        <v>73.617000000000004</v>
      </c>
    </row>
    <row r="113" spans="1:22" ht="17.45" customHeight="1">
      <c r="A113" s="160" t="s">
        <v>141</v>
      </c>
      <c r="F113" s="194">
        <f t="shared" ref="F113" si="80">F112/F101</f>
        <v>7.2049271327816078E-2</v>
      </c>
      <c r="G113" s="194">
        <f t="shared" ref="G113" si="81">G112/G101</f>
        <v>5.9477961159060663E-2</v>
      </c>
      <c r="H113" s="198">
        <f t="shared" ref="H113:I113" si="82">H112/H101</f>
        <v>6.5106703661275619E-2</v>
      </c>
      <c r="I113" s="194">
        <f t="shared" si="82"/>
        <v>4.663351544085044E-2</v>
      </c>
      <c r="J113" s="194">
        <f t="shared" ref="J113" si="83">J112/J101</f>
        <v>2.9970261945849196E-2</v>
      </c>
      <c r="K113" s="194">
        <f t="shared" ref="K113:L113" si="84">K112/K101</f>
        <v>3.1008845355071004E-2</v>
      </c>
      <c r="L113" s="194">
        <f t="shared" si="84"/>
        <v>2.7630067608018671E-2</v>
      </c>
      <c r="M113" s="194">
        <f t="shared" ref="M113" si="85">M112/M101</f>
        <v>3.0383020922367894E-2</v>
      </c>
      <c r="N113" s="194">
        <f t="shared" ref="N113:O113" si="86">N112/N101</f>
        <v>3.6920587373605811E-2</v>
      </c>
      <c r="O113" s="194">
        <f t="shared" si="86"/>
        <v>5.4463792059506203E-2</v>
      </c>
      <c r="P113" s="194">
        <f t="shared" ref="P113:Q113" si="87">P112/P101</f>
        <v>6.8897897355782875E-2</v>
      </c>
      <c r="Q113" s="194">
        <f t="shared" si="87"/>
        <v>3.7619143845218229E-2</v>
      </c>
      <c r="R113" s="194">
        <f>R112/R101</f>
        <v>4.0546555783472028E-2</v>
      </c>
      <c r="S113" s="194">
        <f>S112/S101</f>
        <v>4.4579260472128901E-2</v>
      </c>
      <c r="T113" s="194">
        <f>T112/T101</f>
        <v>5.0547076247294549E-2</v>
      </c>
      <c r="U113" s="194">
        <f>U112/U101</f>
        <v>7.4511286388925096E-2</v>
      </c>
      <c r="V113" s="194">
        <f>V112/V101</f>
        <v>7.5508127153812291E-2</v>
      </c>
    </row>
    <row r="114" spans="1:22" ht="17.45" customHeight="1">
      <c r="A114" s="160" t="s">
        <v>74</v>
      </c>
      <c r="F114" s="149">
        <f t="shared" ref="F114:O114" si="88">F101-F102-F104-F106-F108-F110-F112</f>
        <v>359.9285896685775</v>
      </c>
      <c r="G114" s="149">
        <f t="shared" si="88"/>
        <v>282.40650400071058</v>
      </c>
      <c r="H114" s="149">
        <f t="shared" si="88"/>
        <v>270.9085729011594</v>
      </c>
      <c r="I114" s="149">
        <f t="shared" si="88"/>
        <v>456.5082550906813</v>
      </c>
      <c r="J114" s="149">
        <f t="shared" si="88"/>
        <v>576.72705011409471</v>
      </c>
      <c r="K114" s="149">
        <f t="shared" si="88"/>
        <v>542.63369466301651</v>
      </c>
      <c r="L114" s="149">
        <f t="shared" si="88"/>
        <v>507.92671822198793</v>
      </c>
      <c r="M114" s="149">
        <f t="shared" si="88"/>
        <v>468.11511881673084</v>
      </c>
      <c r="N114" s="149">
        <f t="shared" si="88"/>
        <v>428.87721311617645</v>
      </c>
      <c r="O114" s="149">
        <f t="shared" si="88"/>
        <v>388.86404255693924</v>
      </c>
      <c r="P114" s="149">
        <f t="shared" ref="P114:Q114" si="89">P101-P102-P104-P106-P108-P110-P112</f>
        <v>393.74578501463799</v>
      </c>
      <c r="Q114" s="149">
        <f t="shared" si="89"/>
        <v>444.4309818773981</v>
      </c>
      <c r="R114" s="149">
        <f>R101-R102-R104-R106-R108-R110-R112</f>
        <v>438.22614005415431</v>
      </c>
      <c r="S114" s="149">
        <f>S101-S102-S104-S106-S108-S110-S112</f>
        <v>401.84418182219179</v>
      </c>
      <c r="T114" s="149">
        <f>T101-T102-T104-T106-T108-T110-T112</f>
        <v>465.1957956771675</v>
      </c>
      <c r="U114" s="149">
        <f>U101-U102-U104-U106-U108-U110-U112</f>
        <v>429.83929322117916</v>
      </c>
      <c r="V114" s="149">
        <f>V101-V102-V104-V106-V108-V110-V112</f>
        <v>406.29555421940603</v>
      </c>
    </row>
    <row r="115" spans="1:22" ht="17.45" customHeight="1">
      <c r="A115" s="160" t="s">
        <v>146</v>
      </c>
      <c r="F115" s="198">
        <f t="shared" ref="F115" si="90">F114/F101</f>
        <v>0.34919936732517559</v>
      </c>
      <c r="G115" s="198">
        <f t="shared" ref="G115" si="91">G114/G101</f>
        <v>0.26200223172703752</v>
      </c>
      <c r="H115" s="198">
        <f t="shared" ref="H115:I115" si="92">H114/H101</f>
        <v>0.23122961988456678</v>
      </c>
      <c r="I115" s="198">
        <f t="shared" si="92"/>
        <v>0.509004035067114</v>
      </c>
      <c r="J115" s="198">
        <f t="shared" ref="J115" si="93">J114/J101</f>
        <v>0.5591750756422087</v>
      </c>
      <c r="K115" s="198">
        <f t="shared" ref="K115:L115" si="94">K114/K101</f>
        <v>0.47303827056468184</v>
      </c>
      <c r="L115" s="198">
        <f t="shared" si="94"/>
        <v>0.44208692910356195</v>
      </c>
      <c r="M115" s="198">
        <f t="shared" ref="M115" si="95">M114/M101</f>
        <v>0.38847239836899011</v>
      </c>
      <c r="N115" s="198">
        <f t="shared" ref="N115:O115" si="96">N114/N101</f>
        <v>0.34949121812091627</v>
      </c>
      <c r="O115" s="198">
        <f t="shared" si="96"/>
        <v>0.36075169232881565</v>
      </c>
      <c r="P115" s="198">
        <f t="shared" ref="P115:Q115" si="97">P114/P101</f>
        <v>0.36030250727439039</v>
      </c>
      <c r="Q115" s="198">
        <f t="shared" si="97"/>
        <v>0.47483990447365559</v>
      </c>
      <c r="R115" s="198">
        <f>R114/R101</f>
        <v>0.48195076037434614</v>
      </c>
      <c r="S115" s="198">
        <f>S114/S101</f>
        <v>0.43067475539514399</v>
      </c>
      <c r="T115" s="198">
        <f>T114/T101</f>
        <v>0.43037295887429106</v>
      </c>
      <c r="U115" s="198">
        <f>U114/U101</f>
        <v>0.44178212447986032</v>
      </c>
      <c r="V115" s="198">
        <f>V114/V101</f>
        <v>0.41673277055608815</v>
      </c>
    </row>
    <row r="116" spans="1:22" ht="17.45" customHeight="1">
      <c r="A116" s="160" t="s">
        <v>142</v>
      </c>
      <c r="F116" s="149">
        <f>F102 +F104+F106+F108+F110+F112+F114</f>
        <v>1030.7252055626172</v>
      </c>
      <c r="G116" s="149">
        <f>G102 +G104+G106+G108+G110+G112+G114</f>
        <v>1077.8782384377969</v>
      </c>
      <c r="H116" s="149">
        <f t="shared" ref="H116:V116" si="98">H102 +H104+H106+H108+H110+H112+H114</f>
        <v>1171.5997848216891</v>
      </c>
      <c r="I116" s="149">
        <f t="shared" si="98"/>
        <v>896.86568993601202</v>
      </c>
      <c r="J116" s="149">
        <f t="shared" si="98"/>
        <v>1031.3890501140947</v>
      </c>
      <c r="K116" s="149">
        <f t="shared" si="98"/>
        <v>1147.1242992987782</v>
      </c>
      <c r="L116" s="149">
        <f t="shared" si="98"/>
        <v>1148.9295086193388</v>
      </c>
      <c r="M116" s="149">
        <f t="shared" si="98"/>
        <v>1205.0151330754063</v>
      </c>
      <c r="N116" s="149">
        <f t="shared" si="98"/>
        <v>1227.1473241075673</v>
      </c>
      <c r="O116" s="149">
        <f t="shared" si="98"/>
        <v>1077.9271471927009</v>
      </c>
      <c r="P116" s="149">
        <f t="shared" si="98"/>
        <v>1092.8199972662935</v>
      </c>
      <c r="Q116" s="149">
        <f t="shared" si="98"/>
        <v>935.95963121514637</v>
      </c>
      <c r="R116" s="149">
        <f t="shared" si="98"/>
        <v>909.275751974684</v>
      </c>
      <c r="S116" s="149">
        <f t="shared" si="98"/>
        <v>933.05720102748967</v>
      </c>
      <c r="T116" s="149">
        <f t="shared" si="98"/>
        <v>1080.9131616771676</v>
      </c>
      <c r="U116" s="149">
        <f t="shared" si="98"/>
        <v>972.96669422117907</v>
      </c>
      <c r="V116" s="149">
        <f t="shared" si="98"/>
        <v>974.95465421940594</v>
      </c>
    </row>
    <row r="117" spans="1:22" ht="17.45" customHeight="1">
      <c r="A117" s="199" t="s">
        <v>143</v>
      </c>
      <c r="F117" s="198">
        <f>F103+F105+F107+F109+F111+F113+F115</f>
        <v>1</v>
      </c>
      <c r="G117" s="194">
        <f t="shared" ref="G117:V117" si="99">G103+G105+G107+G109+G111+G113+G115</f>
        <v>1</v>
      </c>
      <c r="H117" s="194">
        <f t="shared" si="99"/>
        <v>1</v>
      </c>
      <c r="I117" s="194">
        <f t="shared" si="99"/>
        <v>1</v>
      </c>
      <c r="J117" s="194">
        <f t="shared" si="99"/>
        <v>1</v>
      </c>
      <c r="K117" s="194">
        <f t="shared" si="99"/>
        <v>0.99999999999999989</v>
      </c>
      <c r="L117" s="194">
        <f t="shared" si="99"/>
        <v>1</v>
      </c>
      <c r="M117" s="194">
        <f t="shared" si="99"/>
        <v>1</v>
      </c>
      <c r="N117" s="194">
        <f t="shared" si="99"/>
        <v>1.0000000000000002</v>
      </c>
      <c r="O117" s="194">
        <f t="shared" si="99"/>
        <v>0.99999999999999989</v>
      </c>
      <c r="P117" s="194">
        <f t="shared" si="99"/>
        <v>1</v>
      </c>
      <c r="Q117" s="194">
        <f t="shared" si="99"/>
        <v>1</v>
      </c>
      <c r="R117" s="194">
        <f t="shared" si="99"/>
        <v>1</v>
      </c>
      <c r="S117" s="194">
        <f t="shared" si="99"/>
        <v>1</v>
      </c>
      <c r="T117" s="194">
        <f t="shared" si="99"/>
        <v>1</v>
      </c>
      <c r="U117" s="194">
        <f t="shared" si="99"/>
        <v>1</v>
      </c>
      <c r="V117" s="194">
        <f t="shared" si="99"/>
        <v>0.99999999999999989</v>
      </c>
    </row>
    <row r="118" spans="1:22" ht="17.45" customHeight="1">
      <c r="A118" s="160" t="s">
        <v>144</v>
      </c>
      <c r="F118" s="149"/>
      <c r="G118" s="149"/>
      <c r="H118" s="149"/>
      <c r="I118" s="149"/>
      <c r="J118" s="149"/>
      <c r="K118" s="149"/>
      <c r="L118" s="149"/>
      <c r="M118" s="149"/>
      <c r="N118" s="149"/>
      <c r="O118" s="149"/>
      <c r="P118" s="149"/>
      <c r="Q118" s="149"/>
      <c r="R118" s="149"/>
      <c r="S118" s="149"/>
      <c r="T118" s="149"/>
      <c r="U118" s="149"/>
      <c r="V118" s="149"/>
    </row>
    <row r="119" spans="1:22" ht="17.45" customHeight="1">
      <c r="A119" s="199" t="s">
        <v>145</v>
      </c>
      <c r="F119" s="200">
        <f t="shared" ref="F119:O119" si="100">F103+F107+F109</f>
        <v>0.47637098694573404</v>
      </c>
      <c r="G119" s="200">
        <f t="shared" si="100"/>
        <v>0.54395350862509306</v>
      </c>
      <c r="H119" s="200">
        <f t="shared" si="100"/>
        <v>0.54828555512952848</v>
      </c>
      <c r="I119" s="200">
        <f t="shared" si="100"/>
        <v>0.37005370923082215</v>
      </c>
      <c r="J119" s="200">
        <f t="shared" si="100"/>
        <v>0.32646652585923019</v>
      </c>
      <c r="K119" s="200">
        <f t="shared" si="100"/>
        <v>0.44988805241322893</v>
      </c>
      <c r="L119" s="200">
        <f t="shared" si="100"/>
        <v>0.49375185068904437</v>
      </c>
      <c r="M119" s="200">
        <f t="shared" si="100"/>
        <v>0.54102631121361533</v>
      </c>
      <c r="N119" s="200">
        <f t="shared" si="100"/>
        <v>0.52794876216068809</v>
      </c>
      <c r="O119" s="200">
        <f t="shared" si="100"/>
        <v>0.49791051862683483</v>
      </c>
      <c r="P119" s="200">
        <f t="shared" ref="P119:Q119" si="101">P103+P107+P109</f>
        <v>0.48967784877918952</v>
      </c>
      <c r="Q119" s="200">
        <f t="shared" si="101"/>
        <v>0.42368206425146321</v>
      </c>
      <c r="R119" s="200">
        <f>R103+R107+R109</f>
        <v>0.40224268498664728</v>
      </c>
      <c r="S119" s="200">
        <f>S103+S107+S109</f>
        <v>0.42315637903842096</v>
      </c>
      <c r="T119" s="200">
        <f>T103+T107+T109</f>
        <v>0.42969588720645058</v>
      </c>
      <c r="U119" s="200">
        <f>U103+U107+U109</f>
        <v>0.40146231039559604</v>
      </c>
      <c r="V119" s="200">
        <f>V103+V107+V109</f>
        <v>0.43381431767008999</v>
      </c>
    </row>
    <row r="120" spans="1:22" ht="17.45" customHeight="1"/>
    <row r="121" spans="1:22" ht="17.45" customHeight="1"/>
    <row r="122" spans="1:22" ht="17.45" customHeight="1">
      <c r="A122" s="201" t="s">
        <v>147</v>
      </c>
    </row>
    <row r="123" spans="1:22" ht="17.45" customHeight="1">
      <c r="A123" s="177"/>
      <c r="B123" s="135"/>
      <c r="V123" s="195"/>
    </row>
    <row r="124" spans="1:22" ht="17.45" customHeight="1">
      <c r="A124" s="177" t="s">
        <v>68</v>
      </c>
      <c r="B124" s="202">
        <v>9.9304389502766335E-2</v>
      </c>
      <c r="D124" s="195"/>
      <c r="E124" s="195"/>
      <c r="F124" s="195">
        <f t="shared" ref="F124:K124" si="102">F103</f>
        <v>0.14153346673013084</v>
      </c>
      <c r="G124" s="195">
        <f t="shared" si="102"/>
        <v>0.17462835866201273</v>
      </c>
      <c r="H124" s="8">
        <f t="shared" si="102"/>
        <v>0.13596488171358312</v>
      </c>
      <c r="I124" s="195">
        <f t="shared" si="102"/>
        <v>6.0045854313072897E-2</v>
      </c>
      <c r="J124" s="195">
        <f t="shared" si="102"/>
        <v>0</v>
      </c>
      <c r="K124" s="195">
        <f t="shared" si="102"/>
        <v>7.37044855061251E-2</v>
      </c>
      <c r="L124" s="195">
        <f t="shared" ref="L124:U124" si="103">L103</f>
        <v>0.16475358082648647</v>
      </c>
      <c r="M124" s="195">
        <f t="shared" si="103"/>
        <v>0.18785499995616581</v>
      </c>
      <c r="N124" s="195">
        <f t="shared" si="103"/>
        <v>0.14588172903163085</v>
      </c>
      <c r="O124" s="195">
        <f t="shared" si="103"/>
        <v>0.13159188350119647</v>
      </c>
      <c r="P124" s="195">
        <f t="shared" si="103"/>
        <v>0.15483076267422444</v>
      </c>
      <c r="Q124" s="195">
        <f t="shared" si="103"/>
        <v>0.1276949198236863</v>
      </c>
      <c r="R124" s="195">
        <f t="shared" si="103"/>
        <v>0.13411745673373968</v>
      </c>
      <c r="S124" s="195">
        <f t="shared" si="103"/>
        <v>0.10578552126859148</v>
      </c>
      <c r="T124" s="195">
        <f t="shared" si="103"/>
        <v>0.1028398320430481</v>
      </c>
      <c r="U124" s="195">
        <f t="shared" si="103"/>
        <v>6.8567550560815274E-2</v>
      </c>
      <c r="V124" s="195">
        <f>V103</f>
        <v>9.9101905055796954E-2</v>
      </c>
    </row>
    <row r="125" spans="1:22" ht="17.45" customHeight="1">
      <c r="A125" s="177" t="s">
        <v>69</v>
      </c>
      <c r="B125" s="203">
        <v>5.7387091469731803E-2</v>
      </c>
      <c r="D125" s="204"/>
      <c r="E125" s="204"/>
      <c r="F125" s="8">
        <f t="shared" ref="F125:K125" si="104">F105</f>
        <v>5.0776901707534322E-2</v>
      </c>
      <c r="G125" s="204">
        <f t="shared" si="104"/>
        <v>6.9926344257075904E-2</v>
      </c>
      <c r="H125" s="8">
        <f t="shared" si="104"/>
        <v>8.8898935335486942E-2</v>
      </c>
      <c r="I125" s="204">
        <f t="shared" si="104"/>
        <v>4.1481082418598589E-2</v>
      </c>
      <c r="J125" s="204">
        <f t="shared" si="104"/>
        <v>0</v>
      </c>
      <c r="K125" s="204">
        <f t="shared" si="104"/>
        <v>6.7829419080391343E-4</v>
      </c>
      <c r="L125" s="204">
        <f t="shared" ref="L125:U125" si="105">L105</f>
        <v>2.6783123158512782E-4</v>
      </c>
      <c r="M125" s="204">
        <f t="shared" si="105"/>
        <v>2.2257993121292995E-3</v>
      </c>
      <c r="N125" s="204">
        <f t="shared" si="105"/>
        <v>4.7151795960668229E-2</v>
      </c>
      <c r="O125" s="204">
        <f t="shared" si="105"/>
        <v>5.307115595342965E-2</v>
      </c>
      <c r="P125" s="204">
        <f t="shared" si="105"/>
        <v>4.584786791306146E-2</v>
      </c>
      <c r="Q125" s="204">
        <f t="shared" si="105"/>
        <v>3.5162136945745902E-2</v>
      </c>
      <c r="R125" s="204">
        <f t="shared" si="105"/>
        <v>5.4238873021605932E-2</v>
      </c>
      <c r="S125" s="204">
        <f t="shared" si="105"/>
        <v>7.9187977437413931E-2</v>
      </c>
      <c r="T125" s="204">
        <f t="shared" si="105"/>
        <v>7.0501894788436589E-2</v>
      </c>
      <c r="U125" s="204">
        <f t="shared" si="105"/>
        <v>6.1857147174164719E-2</v>
      </c>
      <c r="V125" s="204">
        <f>V105</f>
        <v>5.7387091469731803E-2</v>
      </c>
    </row>
    <row r="126" spans="1:22" ht="17.45" customHeight="1">
      <c r="A126" s="177" t="s">
        <v>70</v>
      </c>
      <c r="B126" s="202">
        <v>5.793851463639374E-2</v>
      </c>
      <c r="D126" s="204"/>
      <c r="E126" s="204"/>
      <c r="F126" s="8">
        <f t="shared" ref="F126:K126" si="106">F107</f>
        <v>2.5866711816513281E-2</v>
      </c>
      <c r="G126" s="204">
        <f t="shared" si="106"/>
        <v>3.9100466592648729E-2</v>
      </c>
      <c r="H126" s="8">
        <f t="shared" si="106"/>
        <v>0.10210125829773976</v>
      </c>
      <c r="I126" s="204">
        <f t="shared" si="106"/>
        <v>2.735795221260039E-2</v>
      </c>
      <c r="J126" s="204">
        <f t="shared" si="106"/>
        <v>0</v>
      </c>
      <c r="K126" s="204">
        <f t="shared" si="106"/>
        <v>5.2991040842901641E-2</v>
      </c>
      <c r="L126" s="204">
        <f t="shared" ref="L126:U126" si="107">L107</f>
        <v>7.2469041751618432E-2</v>
      </c>
      <c r="M126" s="204">
        <f t="shared" si="107"/>
        <v>0.12036344660929257</v>
      </c>
      <c r="N126" s="204">
        <f t="shared" si="107"/>
        <v>0.13723742375962475</v>
      </c>
      <c r="O126" s="204">
        <f t="shared" si="107"/>
        <v>7.0189160298583506E-2</v>
      </c>
      <c r="P126" s="204">
        <f t="shared" si="107"/>
        <v>5.320692508126354E-2</v>
      </c>
      <c r="Q126" s="204">
        <f t="shared" si="107"/>
        <v>2.8935028434811935E-2</v>
      </c>
      <c r="R126" s="204">
        <f t="shared" si="107"/>
        <v>5.105356482038776E-2</v>
      </c>
      <c r="S126" s="204">
        <f t="shared" si="107"/>
        <v>0.10560784926143822</v>
      </c>
      <c r="T126" s="204">
        <f t="shared" si="107"/>
        <v>0.12147045355269218</v>
      </c>
      <c r="U126" s="204">
        <f t="shared" si="107"/>
        <v>9.6301871951538803E-2</v>
      </c>
      <c r="V126" s="204">
        <f>V107</f>
        <v>5.793851463639374E-2</v>
      </c>
    </row>
    <row r="127" spans="1:22" ht="17.45" customHeight="1">
      <c r="A127" s="177" t="s">
        <v>71</v>
      </c>
      <c r="B127" s="202">
        <v>0.27677389797789931</v>
      </c>
      <c r="D127" s="195"/>
      <c r="E127" s="195"/>
      <c r="F127" s="8">
        <f t="shared" ref="F127:K127" si="108">F109</f>
        <v>0.30897080839908991</v>
      </c>
      <c r="G127" s="195">
        <f t="shared" si="108"/>
        <v>0.33022468337043165</v>
      </c>
      <c r="H127" s="8">
        <f t="shared" si="108"/>
        <v>0.31021941511820561</v>
      </c>
      <c r="I127" s="195">
        <f t="shared" si="108"/>
        <v>0.28264990270514884</v>
      </c>
      <c r="J127" s="195">
        <f t="shared" si="108"/>
        <v>0.32646652585923019</v>
      </c>
      <c r="K127" s="195">
        <f t="shared" si="108"/>
        <v>0.32319252606420218</v>
      </c>
      <c r="L127" s="195">
        <f t="shared" ref="L127:U127" si="109">L109</f>
        <v>0.25652922811093948</v>
      </c>
      <c r="M127" s="195">
        <f t="shared" si="109"/>
        <v>0.23280786464815692</v>
      </c>
      <c r="N127" s="195">
        <f t="shared" si="109"/>
        <v>0.24482960936943249</v>
      </c>
      <c r="O127" s="195">
        <f t="shared" si="109"/>
        <v>0.29612947482705487</v>
      </c>
      <c r="P127" s="195">
        <f t="shared" si="109"/>
        <v>0.28164016102370154</v>
      </c>
      <c r="Q127" s="195">
        <f t="shared" si="109"/>
        <v>0.26705211599296497</v>
      </c>
      <c r="R127" s="195">
        <f t="shared" si="109"/>
        <v>0.21707166343251982</v>
      </c>
      <c r="S127" s="195">
        <f t="shared" si="109"/>
        <v>0.21176300850839122</v>
      </c>
      <c r="T127" s="195">
        <f t="shared" si="109"/>
        <v>0.20538560161071029</v>
      </c>
      <c r="U127" s="195">
        <f t="shared" si="109"/>
        <v>0.23659288788324195</v>
      </c>
      <c r="V127" s="195">
        <f>V109</f>
        <v>0.27677389797789931</v>
      </c>
    </row>
    <row r="128" spans="1:22" ht="17.45" customHeight="1">
      <c r="A128" s="177" t="s">
        <v>72</v>
      </c>
      <c r="B128" s="202">
        <v>1.6557693150277678E-2</v>
      </c>
      <c r="D128" s="195"/>
      <c r="E128" s="195"/>
      <c r="F128" s="8">
        <f t="shared" ref="F128:K128" si="110">F111</f>
        <v>5.1603472693739938E-2</v>
      </c>
      <c r="G128" s="195">
        <f t="shared" si="110"/>
        <v>6.4639954231732855E-2</v>
      </c>
      <c r="H128" s="8">
        <f t="shared" si="110"/>
        <v>6.6479185989142153E-2</v>
      </c>
      <c r="I128" s="195">
        <f t="shared" si="110"/>
        <v>3.2827657842614738E-2</v>
      </c>
      <c r="J128" s="195">
        <f t="shared" si="110"/>
        <v>8.4388136552711865E-2</v>
      </c>
      <c r="K128" s="195">
        <f t="shared" si="110"/>
        <v>4.5386537476214246E-2</v>
      </c>
      <c r="L128" s="195">
        <f t="shared" ref="L128:U128" si="111">L111</f>
        <v>3.6263321367789883E-2</v>
      </c>
      <c r="M128" s="195">
        <f t="shared" si="111"/>
        <v>3.7892470182897424E-2</v>
      </c>
      <c r="N128" s="195">
        <f t="shared" si="111"/>
        <v>3.8487636384121712E-2</v>
      </c>
      <c r="O128" s="195">
        <f t="shared" si="111"/>
        <v>3.3802841031413566E-2</v>
      </c>
      <c r="P128" s="195">
        <f t="shared" si="111"/>
        <v>3.5273878677575844E-2</v>
      </c>
      <c r="Q128" s="195">
        <f t="shared" si="111"/>
        <v>2.8696750483916969E-2</v>
      </c>
      <c r="R128" s="195">
        <f t="shared" si="111"/>
        <v>2.102112583392873E-2</v>
      </c>
      <c r="S128" s="195">
        <f t="shared" si="111"/>
        <v>2.2401627656892374E-2</v>
      </c>
      <c r="T128" s="195">
        <f t="shared" si="111"/>
        <v>1.8882182883527311E-2</v>
      </c>
      <c r="U128" s="195">
        <f t="shared" si="111"/>
        <v>2.0387131561453827E-2</v>
      </c>
      <c r="V128" s="195">
        <f>V111</f>
        <v>1.6557693150277678E-2</v>
      </c>
    </row>
    <row r="129" spans="1:22" ht="17.45" customHeight="1">
      <c r="A129" s="177" t="s">
        <v>73</v>
      </c>
      <c r="B129" s="202">
        <v>7.5508127153812291E-2</v>
      </c>
      <c r="D129" s="195"/>
      <c r="E129" s="195"/>
      <c r="F129" s="8">
        <f t="shared" ref="F129:K129" si="112">F113</f>
        <v>7.2049271327816078E-2</v>
      </c>
      <c r="G129" s="195">
        <f t="shared" si="112"/>
        <v>5.9477961159060663E-2</v>
      </c>
      <c r="H129" s="8">
        <f t="shared" si="112"/>
        <v>6.5106703661275619E-2</v>
      </c>
      <c r="I129" s="195">
        <f t="shared" si="112"/>
        <v>4.663351544085044E-2</v>
      </c>
      <c r="J129" s="195">
        <f t="shared" si="112"/>
        <v>2.9970261945849196E-2</v>
      </c>
      <c r="K129" s="195">
        <f t="shared" si="112"/>
        <v>3.1008845355071004E-2</v>
      </c>
      <c r="L129" s="195">
        <f t="shared" ref="L129:U129" si="113">L113</f>
        <v>2.7630067608018671E-2</v>
      </c>
      <c r="M129" s="195">
        <f t="shared" si="113"/>
        <v>3.0383020922367894E-2</v>
      </c>
      <c r="N129" s="195">
        <f t="shared" si="113"/>
        <v>3.6920587373605811E-2</v>
      </c>
      <c r="O129" s="195">
        <f t="shared" si="113"/>
        <v>5.4463792059506203E-2</v>
      </c>
      <c r="P129" s="195">
        <f t="shared" si="113"/>
        <v>6.8897897355782875E-2</v>
      </c>
      <c r="Q129" s="195">
        <f t="shared" si="113"/>
        <v>3.7619143845218229E-2</v>
      </c>
      <c r="R129" s="195">
        <f t="shared" si="113"/>
        <v>4.0546555783472028E-2</v>
      </c>
      <c r="S129" s="195">
        <f t="shared" si="113"/>
        <v>4.4579260472128901E-2</v>
      </c>
      <c r="T129" s="195">
        <f t="shared" si="113"/>
        <v>5.0547076247294549E-2</v>
      </c>
      <c r="U129" s="195">
        <f t="shared" si="113"/>
        <v>7.4511286388925096E-2</v>
      </c>
      <c r="V129" s="195">
        <f>V113</f>
        <v>7.5508127153812291E-2</v>
      </c>
    </row>
    <row r="130" spans="1:22" ht="17.45" customHeight="1">
      <c r="A130" s="177" t="s">
        <v>74</v>
      </c>
      <c r="B130" s="205">
        <v>0.41673277055608815</v>
      </c>
      <c r="D130" s="8"/>
      <c r="E130" s="8"/>
      <c r="F130" s="8">
        <f t="shared" ref="F130:K130" si="114">F115</f>
        <v>0.34919936732517559</v>
      </c>
      <c r="G130" s="8">
        <f t="shared" si="114"/>
        <v>0.26200223172703752</v>
      </c>
      <c r="H130" s="8">
        <f t="shared" si="114"/>
        <v>0.23122961988456678</v>
      </c>
      <c r="I130" s="8">
        <f t="shared" si="114"/>
        <v>0.509004035067114</v>
      </c>
      <c r="J130" s="8">
        <f t="shared" si="114"/>
        <v>0.5591750756422087</v>
      </c>
      <c r="K130" s="8">
        <f t="shared" si="114"/>
        <v>0.47303827056468184</v>
      </c>
      <c r="L130" s="8">
        <f t="shared" ref="L130:U130" si="115">L115</f>
        <v>0.44208692910356195</v>
      </c>
      <c r="M130" s="8">
        <f t="shared" si="115"/>
        <v>0.38847239836899011</v>
      </c>
      <c r="N130" s="8">
        <f t="shared" si="115"/>
        <v>0.34949121812091627</v>
      </c>
      <c r="O130" s="8">
        <f t="shared" si="115"/>
        <v>0.36075169232881565</v>
      </c>
      <c r="P130" s="8">
        <f t="shared" si="115"/>
        <v>0.36030250727439039</v>
      </c>
      <c r="Q130" s="8">
        <f t="shared" si="115"/>
        <v>0.47483990447365559</v>
      </c>
      <c r="R130" s="8">
        <f t="shared" si="115"/>
        <v>0.48195076037434614</v>
      </c>
      <c r="S130" s="8">
        <f t="shared" si="115"/>
        <v>0.43067475539514399</v>
      </c>
      <c r="T130" s="8">
        <f t="shared" si="115"/>
        <v>0.43037295887429106</v>
      </c>
      <c r="U130" s="8">
        <f t="shared" si="115"/>
        <v>0.44178212447986032</v>
      </c>
      <c r="V130" s="8">
        <f>V115</f>
        <v>0.41673277055608815</v>
      </c>
    </row>
    <row r="131" spans="1:22" ht="17.45" customHeight="1">
      <c r="A131" s="177"/>
      <c r="B131" s="195">
        <f>SUM(B124:B130)</f>
        <v>1.0002024844469692</v>
      </c>
      <c r="D131" s="195"/>
      <c r="E131" s="195"/>
      <c r="F131" s="195">
        <f t="shared" ref="F131" si="116">SUM(F124:F130)</f>
        <v>1</v>
      </c>
      <c r="G131" s="195">
        <f t="shared" ref="G131" si="117">SUM(G124:G130)</f>
        <v>1</v>
      </c>
      <c r="H131" s="195">
        <f t="shared" ref="H131" si="118">SUM(H124:H130)</f>
        <v>1</v>
      </c>
      <c r="I131" s="195">
        <f t="shared" ref="I131" si="119">SUM(I124:I130)</f>
        <v>1</v>
      </c>
      <c r="J131" s="195">
        <f t="shared" ref="J131" si="120">SUM(J124:J130)</f>
        <v>1</v>
      </c>
      <c r="K131" s="195">
        <f t="shared" ref="K131" si="121">SUM(K124:K130)</f>
        <v>0.99999999999999989</v>
      </c>
      <c r="L131" s="195">
        <f t="shared" ref="L131:U131" si="122">SUM(L124:L130)</f>
        <v>1</v>
      </c>
      <c r="M131" s="195">
        <f t="shared" si="122"/>
        <v>1</v>
      </c>
      <c r="N131" s="195">
        <f t="shared" si="122"/>
        <v>1.0000000000000002</v>
      </c>
      <c r="O131" s="195">
        <f t="shared" si="122"/>
        <v>0.99999999999999989</v>
      </c>
      <c r="P131" s="195">
        <f t="shared" si="122"/>
        <v>1</v>
      </c>
      <c r="Q131" s="195">
        <f t="shared" si="122"/>
        <v>1</v>
      </c>
      <c r="R131" s="195">
        <f t="shared" si="122"/>
        <v>1</v>
      </c>
      <c r="S131" s="195">
        <f t="shared" si="122"/>
        <v>1</v>
      </c>
      <c r="T131" s="195">
        <f t="shared" si="122"/>
        <v>1</v>
      </c>
      <c r="U131" s="195">
        <f t="shared" si="122"/>
        <v>1</v>
      </c>
      <c r="V131" s="195">
        <f>SUM(V124:V130)</f>
        <v>0.99999999999999989</v>
      </c>
    </row>
    <row r="132" spans="1:22" ht="17.45" customHeight="1">
      <c r="A132" s="177" t="s">
        <v>75</v>
      </c>
      <c r="B132" s="135">
        <v>878.33479064324706</v>
      </c>
    </row>
    <row r="133" spans="1:22" ht="17.45" customHeight="1">
      <c r="A133" s="206" t="s">
        <v>76</v>
      </c>
      <c r="B133" s="135">
        <v>974.95465421940605</v>
      </c>
    </row>
    <row r="134" spans="1:22" ht="17.45" customHeight="1"/>
    <row r="135" spans="1:22" ht="17.45" customHeight="1"/>
    <row r="136" spans="1:22" ht="17.45" customHeight="1"/>
    <row r="137" spans="1:22" ht="17.45" customHeight="1">
      <c r="A137" s="151" t="s">
        <v>90</v>
      </c>
    </row>
    <row r="138" spans="1:22" ht="17.45" customHeight="1">
      <c r="A138" s="151" t="s">
        <v>92</v>
      </c>
    </row>
    <row r="139" spans="1:22" ht="17.45" customHeight="1">
      <c r="A139" s="207" t="s">
        <v>98</v>
      </c>
    </row>
    <row r="140" spans="1:22" ht="17.45" customHeight="1">
      <c r="A140" s="151" t="s">
        <v>103</v>
      </c>
      <c r="B140" s="135"/>
    </row>
    <row r="141" spans="1:22" ht="17.45" customHeight="1">
      <c r="A141" s="151" t="s">
        <v>118</v>
      </c>
    </row>
    <row r="142" spans="1:22" ht="17.45" customHeight="1"/>
    <row r="143" spans="1:22" ht="17.45" customHeight="1"/>
  </sheetData>
  <sheetProtection algorithmName="SHA-512" hashValue="qNLvrs1iRLaxx9O1Ml4vrceBI7PYZvG80+E7uh9TDUt++0aHmf5dCZ7RdpP0SGanJYqtpAEfImjKAVogxfvqfA==" saltValue="CcK+nR33oymCQUHplpxvhg==" spinCount="100000" sheet="1" objects="1" scenarios="1"/>
  <mergeCells count="1">
    <mergeCell ref="A1:B1"/>
  </mergeCells>
  <pageMargins left="0.7" right="0.7" top="0.75" bottom="0.75" header="0.3" footer="0.3"/>
  <ignoredErrors>
    <ignoredError sqref="F103:V103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U197"/>
  <sheetViews>
    <sheetView zoomScaleNormal="100" workbookViewId="0">
      <pane xSplit="1" ySplit="2" topLeftCell="B37" activePane="bottomRight" state="frozen"/>
      <selection pane="topRight" activeCell="B1" sqref="B1"/>
      <selection pane="bottomLeft" activeCell="A3" sqref="A3"/>
      <selection pane="bottomRight"/>
    </sheetView>
  </sheetViews>
  <sheetFormatPr defaultColWidth="12.85546875" defaultRowHeight="12.75"/>
  <cols>
    <col min="1" max="1" width="55.7109375" customWidth="1"/>
    <col min="2" max="20" width="12.5703125" customWidth="1"/>
    <col min="21" max="22" width="10.5703125" customWidth="1"/>
    <col min="23" max="23" width="16.5703125" customWidth="1"/>
    <col min="24" max="24" width="4.5703125" customWidth="1"/>
    <col min="25" max="25" width="36.5703125" customWidth="1"/>
    <col min="26" max="26" width="12.85546875" bestFit="1" customWidth="1"/>
    <col min="27" max="27" width="10.5703125" bestFit="1" customWidth="1"/>
    <col min="28" max="28" width="11.5703125" bestFit="1" customWidth="1"/>
    <col min="29" max="32" width="10.85546875" customWidth="1"/>
    <col min="33" max="33" width="13.5703125" bestFit="1" customWidth="1"/>
    <col min="34" max="36" width="10.85546875" customWidth="1"/>
    <col min="37" max="51" width="12.85546875" customWidth="1"/>
    <col min="52" max="52" width="9.85546875" bestFit="1" customWidth="1"/>
  </cols>
  <sheetData>
    <row r="1" spans="1:30" ht="60.75" customHeight="1">
      <c r="A1" s="231" t="s">
        <v>153</v>
      </c>
      <c r="B1" s="231"/>
    </row>
    <row r="2" spans="1:30" ht="60.75" customHeight="1">
      <c r="A2" s="232" t="s">
        <v>61</v>
      </c>
      <c r="B2" s="232"/>
    </row>
    <row r="3" spans="1:30" ht="16.5" customHeight="1">
      <c r="A3" s="88" t="s">
        <v>87</v>
      </c>
      <c r="U3" s="56"/>
      <c r="Y3" s="23"/>
      <c r="Z3" s="23"/>
    </row>
    <row r="4" spans="1:30" ht="18" customHeight="1">
      <c r="A4" s="89" t="s">
        <v>60</v>
      </c>
      <c r="Z4" s="15"/>
      <c r="AA4" s="15"/>
      <c r="AB4" s="15"/>
      <c r="AC4" s="15"/>
      <c r="AD4" s="15"/>
    </row>
    <row r="5" spans="1:30" ht="18" customHeight="1">
      <c r="A5" s="89"/>
      <c r="W5" s="236" t="s">
        <v>150</v>
      </c>
      <c r="Z5" s="15"/>
      <c r="AA5" s="15"/>
      <c r="AB5" s="15"/>
      <c r="AC5" s="15"/>
      <c r="AD5" s="15"/>
    </row>
    <row r="6" spans="1:30" ht="18" customHeight="1">
      <c r="A6" s="99" t="s">
        <v>95</v>
      </c>
      <c r="Z6" s="15"/>
      <c r="AA6" s="15"/>
      <c r="AB6" s="15"/>
      <c r="AC6" s="15"/>
      <c r="AD6" s="15"/>
    </row>
    <row r="7" spans="1:30" ht="18" customHeight="1">
      <c r="B7" s="87">
        <v>1996</v>
      </c>
      <c r="C7" s="87">
        <v>1997</v>
      </c>
      <c r="D7" s="87">
        <v>1998</v>
      </c>
      <c r="E7" s="87">
        <v>1999</v>
      </c>
      <c r="F7" s="87">
        <v>2000</v>
      </c>
      <c r="G7" s="87">
        <f>F7+1</f>
        <v>2001</v>
      </c>
      <c r="H7" s="87">
        <f>G7+1</f>
        <v>2002</v>
      </c>
      <c r="I7" s="87">
        <f>H7+1</f>
        <v>2003</v>
      </c>
      <c r="J7" s="87">
        <f>I7+1</f>
        <v>2004</v>
      </c>
      <c r="K7" s="87">
        <v>2005</v>
      </c>
      <c r="L7" s="87">
        <v>2006</v>
      </c>
      <c r="M7" s="87">
        <v>2007</v>
      </c>
      <c r="N7" s="87">
        <v>2008</v>
      </c>
      <c r="O7" s="87">
        <v>2009</v>
      </c>
      <c r="P7" s="87">
        <v>2010</v>
      </c>
      <c r="Q7" s="87">
        <v>2011</v>
      </c>
      <c r="R7" s="87">
        <v>2012</v>
      </c>
      <c r="S7" s="87">
        <v>2013</v>
      </c>
      <c r="T7" s="87">
        <v>2014</v>
      </c>
      <c r="U7" s="87">
        <v>2015</v>
      </c>
      <c r="V7" s="87">
        <v>2016</v>
      </c>
      <c r="W7" s="237">
        <v>2017</v>
      </c>
      <c r="Z7" s="15"/>
      <c r="AA7" s="15"/>
      <c r="AB7" s="15"/>
      <c r="AC7" s="15"/>
      <c r="AD7" s="15"/>
    </row>
    <row r="8" spans="1:30" ht="18" customHeight="1">
      <c r="A8" s="23" t="s">
        <v>88</v>
      </c>
      <c r="B8" s="37">
        <v>4763.2</v>
      </c>
      <c r="C8" s="37">
        <v>4698.3999999999996</v>
      </c>
      <c r="D8" s="37">
        <v>4617.1000000000004</v>
      </c>
      <c r="E8" s="37">
        <v>4555.8999999999996</v>
      </c>
      <c r="F8" s="37">
        <v>4451</v>
      </c>
      <c r="G8" s="37">
        <v>4799.3</v>
      </c>
      <c r="H8" s="37">
        <v>4821.6000000000004</v>
      </c>
      <c r="I8" s="37">
        <v>4924.2</v>
      </c>
      <c r="J8" s="37">
        <v>5334.7</v>
      </c>
      <c r="K8" s="37">
        <v>5436.2</v>
      </c>
      <c r="L8" s="37">
        <v>5164.6000000000004</v>
      </c>
      <c r="M8" s="37">
        <v>5104.6000000000004</v>
      </c>
      <c r="N8" s="37">
        <v>4862.3999999999996</v>
      </c>
      <c r="O8" s="37">
        <v>4588</v>
      </c>
      <c r="P8" s="37">
        <v>4291.8</v>
      </c>
      <c r="Q8" s="37">
        <v>4201.8</v>
      </c>
      <c r="R8" s="37">
        <v>3951.3</v>
      </c>
      <c r="S8" s="37">
        <v>3962.5</v>
      </c>
      <c r="T8" s="37">
        <v>3926.6</v>
      </c>
      <c r="U8" s="37">
        <v>3799.5</v>
      </c>
      <c r="V8" s="37">
        <v>3811.4</v>
      </c>
      <c r="W8" s="228">
        <v>3800</v>
      </c>
      <c r="Z8" s="15"/>
      <c r="AA8" s="15"/>
      <c r="AB8" s="15"/>
      <c r="AC8" s="15"/>
      <c r="AD8" s="15"/>
    </row>
    <row r="9" spans="1:30" ht="18" customHeight="1">
      <c r="A9" s="23" t="s">
        <v>89</v>
      </c>
      <c r="M9" s="31">
        <v>5032.2</v>
      </c>
      <c r="N9" s="31">
        <v>4767.3999999999996</v>
      </c>
      <c r="O9" s="31">
        <v>4375.8</v>
      </c>
      <c r="P9" s="31">
        <v>4096</v>
      </c>
      <c r="Q9" s="31">
        <v>3944.2</v>
      </c>
      <c r="R9" s="31">
        <v>3955.4</v>
      </c>
      <c r="W9" s="65"/>
      <c r="Z9" s="15"/>
      <c r="AA9" s="15"/>
      <c r="AB9" s="15"/>
      <c r="AC9" s="15"/>
      <c r="AD9" s="15"/>
    </row>
    <row r="10" spans="1:30" ht="18" customHeight="1">
      <c r="A10" s="100" t="s">
        <v>91</v>
      </c>
      <c r="W10" s="65"/>
      <c r="Z10" s="15"/>
      <c r="AA10" s="15"/>
      <c r="AB10" s="15"/>
      <c r="AC10" s="15"/>
      <c r="AD10" s="15"/>
    </row>
    <row r="11" spans="1:30" ht="18" customHeight="1">
      <c r="A11" s="15" t="s">
        <v>148</v>
      </c>
      <c r="C11" s="74">
        <v>2984314</v>
      </c>
      <c r="D11" s="74">
        <v>3138672</v>
      </c>
      <c r="E11" s="74">
        <v>339261</v>
      </c>
      <c r="F11" s="74">
        <v>3255180</v>
      </c>
      <c r="G11" s="74">
        <v>3211050</v>
      </c>
      <c r="H11" s="74">
        <v>3297007</v>
      </c>
      <c r="I11" s="74">
        <v>2923475</v>
      </c>
      <c r="J11" s="74">
        <v>3709788</v>
      </c>
      <c r="K11" s="39">
        <v>3657735</v>
      </c>
      <c r="L11" s="39">
        <v>3316824</v>
      </c>
      <c r="M11" s="39">
        <v>3199395</v>
      </c>
      <c r="N11" s="39">
        <v>3253879</v>
      </c>
      <c r="O11" s="39">
        <v>3139039</v>
      </c>
      <c r="P11" s="39">
        <v>3210305</v>
      </c>
      <c r="Q11" s="39">
        <v>2889627</v>
      </c>
      <c r="R11" s="39">
        <v>2611153</v>
      </c>
      <c r="S11" s="39">
        <v>2585690</v>
      </c>
      <c r="T11" s="39">
        <v>2672808</v>
      </c>
      <c r="U11" s="39">
        <v>2517514</v>
      </c>
      <c r="V11" s="39">
        <v>2649021</v>
      </c>
      <c r="W11" s="228">
        <f>W17</f>
        <v>2610413</v>
      </c>
      <c r="X11" s="23"/>
      <c r="Z11" s="18"/>
      <c r="AA11" s="18"/>
      <c r="AB11" s="18"/>
      <c r="AC11" s="18"/>
      <c r="AD11" s="18"/>
    </row>
    <row r="12" spans="1:30" ht="18" customHeight="1">
      <c r="W12" s="65"/>
      <c r="X12" s="23"/>
      <c r="Z12" s="18"/>
      <c r="AA12" s="18"/>
      <c r="AB12" s="18"/>
      <c r="AC12" s="18"/>
      <c r="AD12" s="18"/>
    </row>
    <row r="13" spans="1:30" ht="18" customHeight="1">
      <c r="A13" s="23" t="s">
        <v>11</v>
      </c>
      <c r="B13" s="28">
        <v>1413199</v>
      </c>
      <c r="C13" s="28">
        <v>1461627</v>
      </c>
      <c r="D13" s="28">
        <v>1499626</v>
      </c>
      <c r="E13" s="28">
        <v>1644543</v>
      </c>
      <c r="F13" s="28">
        <v>1667040</v>
      </c>
      <c r="G13" s="28">
        <v>1624871</v>
      </c>
      <c r="H13" s="28">
        <v>1674532</v>
      </c>
      <c r="I13" s="28">
        <v>1592351</v>
      </c>
      <c r="J13" s="28">
        <v>1899606</v>
      </c>
      <c r="K13" s="28">
        <v>1812713</v>
      </c>
      <c r="L13" s="28">
        <v>1531480</v>
      </c>
      <c r="M13" s="28">
        <v>1459428</v>
      </c>
      <c r="N13" s="28">
        <v>1488588</v>
      </c>
      <c r="O13" s="28">
        <v>1520831</v>
      </c>
      <c r="P13" s="28">
        <v>1545105</v>
      </c>
      <c r="Q13" s="28">
        <v>1443183</v>
      </c>
      <c r="R13" s="28">
        <v>1354578</v>
      </c>
      <c r="S13" s="28">
        <v>1344108</v>
      </c>
      <c r="T13" s="28">
        <v>1413141</v>
      </c>
      <c r="U13" s="44">
        <v>1408535</v>
      </c>
      <c r="V13" s="74">
        <v>1465996</v>
      </c>
      <c r="W13" s="228">
        <v>1258000</v>
      </c>
      <c r="X13" s="23"/>
      <c r="Y13" s="13"/>
      <c r="Z13" s="12"/>
    </row>
    <row r="14" spans="1:30" ht="18" customHeight="1">
      <c r="A14" s="23" t="s">
        <v>6</v>
      </c>
      <c r="B14" s="28">
        <v>804983</v>
      </c>
      <c r="C14" s="28">
        <v>918097</v>
      </c>
      <c r="D14" s="28">
        <v>1004415</v>
      </c>
      <c r="E14" s="28">
        <v>1159994</v>
      </c>
      <c r="F14" s="28">
        <v>1113925</v>
      </c>
      <c r="G14" s="28">
        <v>1097565</v>
      </c>
      <c r="H14" s="28">
        <v>1116291</v>
      </c>
      <c r="I14" s="28">
        <v>986120</v>
      </c>
      <c r="J14" s="28">
        <v>1324089</v>
      </c>
      <c r="K14" s="28">
        <v>1255235</v>
      </c>
      <c r="L14" s="28">
        <v>1064577</v>
      </c>
      <c r="M14" s="28">
        <v>1009653</v>
      </c>
      <c r="N14" s="28">
        <v>994068</v>
      </c>
      <c r="O14" s="28">
        <v>999361</v>
      </c>
      <c r="P14" s="28">
        <v>1062659</v>
      </c>
      <c r="Q14" s="28">
        <v>919997</v>
      </c>
      <c r="R14" s="28">
        <v>830364</v>
      </c>
      <c r="S14" s="28">
        <v>780515</v>
      </c>
      <c r="T14" s="28">
        <v>843330</v>
      </c>
      <c r="U14" s="74">
        <v>746106</v>
      </c>
      <c r="V14" s="74">
        <v>777629</v>
      </c>
      <c r="W14" s="228">
        <v>824271</v>
      </c>
      <c r="X14" s="23"/>
      <c r="Y14" s="13"/>
      <c r="Z14" s="12"/>
    </row>
    <row r="15" spans="1:30" ht="18" customHeight="1">
      <c r="A15" s="23" t="s">
        <v>12</v>
      </c>
      <c r="B15" s="28">
        <v>603740</v>
      </c>
      <c r="C15" s="28">
        <v>588446</v>
      </c>
      <c r="D15" s="28">
        <v>523466</v>
      </c>
      <c r="E15" s="28">
        <v>507316</v>
      </c>
      <c r="F15" s="28">
        <v>459969</v>
      </c>
      <c r="G15" s="28">
        <v>475723</v>
      </c>
      <c r="H15" s="28">
        <v>497002</v>
      </c>
      <c r="I15" s="28">
        <v>330525</v>
      </c>
      <c r="J15" s="28">
        <v>406798</v>
      </c>
      <c r="K15" s="28">
        <v>545211</v>
      </c>
      <c r="L15" s="28">
        <v>676259</v>
      </c>
      <c r="M15" s="28">
        <v>684442</v>
      </c>
      <c r="N15" s="28">
        <v>750838</v>
      </c>
      <c r="O15" s="28">
        <v>602855</v>
      </c>
      <c r="P15" s="28">
        <v>573247</v>
      </c>
      <c r="Q15" s="28">
        <v>501212</v>
      </c>
      <c r="R15" s="28">
        <v>412390</v>
      </c>
      <c r="S15" s="28">
        <v>456177</v>
      </c>
      <c r="T15" s="28">
        <v>409933</v>
      </c>
      <c r="U15" s="74">
        <v>352508</v>
      </c>
      <c r="V15" s="74">
        <v>391840</v>
      </c>
      <c r="W15" s="228">
        <v>514642</v>
      </c>
      <c r="X15" s="23"/>
      <c r="Y15" s="13"/>
      <c r="Z15" s="12"/>
    </row>
    <row r="16" spans="1:30" ht="18" customHeight="1">
      <c r="A16" s="23" t="s">
        <v>13</v>
      </c>
      <c r="B16" s="28"/>
      <c r="C16" s="28">
        <v>24801</v>
      </c>
      <c r="D16" s="28">
        <v>23277</v>
      </c>
      <c r="E16" s="28">
        <v>28131</v>
      </c>
      <c r="F16" s="28">
        <v>18120</v>
      </c>
      <c r="G16" s="28">
        <v>12040</v>
      </c>
      <c r="H16" s="28">
        <v>9843</v>
      </c>
      <c r="I16" s="28">
        <v>14631</v>
      </c>
      <c r="J16" s="28">
        <v>32983</v>
      </c>
      <c r="K16" s="28">
        <v>46995</v>
      </c>
      <c r="L16" s="28">
        <v>44415</v>
      </c>
      <c r="M16" s="28">
        <v>45591</v>
      </c>
      <c r="N16" s="28">
        <v>20390</v>
      </c>
      <c r="O16" s="28">
        <v>15992</v>
      </c>
      <c r="P16" s="28">
        <v>29294</v>
      </c>
      <c r="Q16" s="28">
        <v>25235</v>
      </c>
      <c r="R16" s="28">
        <v>13821</v>
      </c>
      <c r="S16" s="28">
        <v>4890</v>
      </c>
      <c r="T16" s="28">
        <v>6358</v>
      </c>
      <c r="U16" s="74">
        <v>10364</v>
      </c>
      <c r="V16" s="74">
        <v>13556</v>
      </c>
      <c r="W16" s="228">
        <v>13500</v>
      </c>
      <c r="X16" s="23"/>
      <c r="Y16" s="13"/>
      <c r="Z16" s="12"/>
    </row>
    <row r="17" spans="1:30" ht="18" customHeight="1">
      <c r="A17" s="90" t="s">
        <v>26</v>
      </c>
      <c r="B17" s="91">
        <f t="shared" ref="B17:M17" si="0">SUM(B13:B16)</f>
        <v>2821922</v>
      </c>
      <c r="C17" s="91">
        <f t="shared" si="0"/>
        <v>2992971</v>
      </c>
      <c r="D17" s="91">
        <f t="shared" si="0"/>
        <v>3050784</v>
      </c>
      <c r="E17" s="91">
        <f t="shared" si="0"/>
        <v>3339984</v>
      </c>
      <c r="F17" s="91">
        <f t="shared" si="0"/>
        <v>3259054</v>
      </c>
      <c r="G17" s="91">
        <f t="shared" si="0"/>
        <v>3210199</v>
      </c>
      <c r="H17" s="91">
        <f t="shared" si="0"/>
        <v>3297668</v>
      </c>
      <c r="I17" s="91">
        <f t="shared" si="0"/>
        <v>2923627</v>
      </c>
      <c r="J17" s="91">
        <f t="shared" si="0"/>
        <v>3663476</v>
      </c>
      <c r="K17" s="91">
        <f t="shared" si="0"/>
        <v>3660154</v>
      </c>
      <c r="L17" s="91">
        <f t="shared" si="0"/>
        <v>3316731</v>
      </c>
      <c r="M17" s="91">
        <f t="shared" si="0"/>
        <v>3199114</v>
      </c>
      <c r="N17" s="91">
        <f t="shared" ref="N17:W17" si="1">SUM(N13:N16)</f>
        <v>3253884</v>
      </c>
      <c r="O17" s="91">
        <f t="shared" si="1"/>
        <v>3139039</v>
      </c>
      <c r="P17" s="91">
        <f t="shared" si="1"/>
        <v>3210305</v>
      </c>
      <c r="Q17" s="91">
        <f t="shared" si="1"/>
        <v>2889627</v>
      </c>
      <c r="R17" s="91">
        <f t="shared" si="1"/>
        <v>2611153</v>
      </c>
      <c r="S17" s="91">
        <f t="shared" si="1"/>
        <v>2585690</v>
      </c>
      <c r="T17" s="91">
        <f t="shared" si="1"/>
        <v>2672762</v>
      </c>
      <c r="U17" s="91">
        <f t="shared" si="1"/>
        <v>2517513</v>
      </c>
      <c r="V17" s="91">
        <f t="shared" si="1"/>
        <v>2649021</v>
      </c>
      <c r="W17" s="222">
        <f t="shared" si="1"/>
        <v>2610413</v>
      </c>
      <c r="X17" s="23"/>
      <c r="Z17" s="18"/>
      <c r="AA17" s="18"/>
      <c r="AB17" s="18"/>
      <c r="AC17" s="18"/>
      <c r="AD17" s="18"/>
    </row>
    <row r="18" spans="1:30" ht="18" customHeight="1">
      <c r="A18" s="23"/>
      <c r="B18" s="92"/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3"/>
      <c r="O18" s="93"/>
      <c r="P18" s="93"/>
      <c r="Q18" s="93"/>
      <c r="R18" s="93"/>
      <c r="S18" s="93"/>
      <c r="T18" s="93"/>
      <c r="U18" s="93"/>
      <c r="V18" s="93"/>
      <c r="W18" s="238"/>
      <c r="X18" s="23"/>
      <c r="Z18" s="18"/>
      <c r="AA18" s="18"/>
      <c r="AB18" s="18"/>
      <c r="AC18" s="18"/>
      <c r="AD18" s="18"/>
    </row>
    <row r="19" spans="1:30" ht="18" customHeight="1">
      <c r="A19" s="15" t="s">
        <v>93</v>
      </c>
      <c r="B19" s="28">
        <v>198209</v>
      </c>
      <c r="C19" s="28">
        <v>184927</v>
      </c>
      <c r="D19" s="28">
        <v>159798</v>
      </c>
      <c r="E19" s="28">
        <v>162260</v>
      </c>
      <c r="F19" s="28">
        <v>158557</v>
      </c>
      <c r="G19" s="28">
        <v>165407</v>
      </c>
      <c r="H19" s="28">
        <v>174400</v>
      </c>
      <c r="I19" s="28">
        <v>185079</v>
      </c>
      <c r="J19" s="28">
        <v>248017</v>
      </c>
      <c r="K19" s="28">
        <v>273825</v>
      </c>
      <c r="L19" s="28">
        <v>232181</v>
      </c>
      <c r="M19" s="28">
        <v>222581</v>
      </c>
      <c r="N19" s="28">
        <v>222627</v>
      </c>
      <c r="O19" s="28">
        <v>215998</v>
      </c>
      <c r="P19" s="28">
        <v>194535</v>
      </c>
      <c r="Q19" s="28">
        <v>168023</v>
      </c>
      <c r="R19" s="28">
        <v>170885</v>
      </c>
      <c r="S19" s="28">
        <v>166662</v>
      </c>
      <c r="T19" s="28">
        <v>160220</v>
      </c>
      <c r="U19" s="28">
        <v>155292</v>
      </c>
      <c r="V19" s="74">
        <v>148885</v>
      </c>
      <c r="W19" s="228">
        <v>148000</v>
      </c>
      <c r="X19" s="23"/>
      <c r="Y19" s="3"/>
      <c r="Z19" s="18"/>
      <c r="AA19" s="18"/>
      <c r="AB19" s="18"/>
      <c r="AC19" s="18"/>
      <c r="AD19" s="18"/>
    </row>
    <row r="20" spans="1:30" ht="18" customHeight="1">
      <c r="A20" s="23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59"/>
      <c r="W20" s="221"/>
      <c r="X20" s="23"/>
      <c r="Y20" s="3"/>
      <c r="Z20" s="18"/>
      <c r="AA20" s="18"/>
      <c r="AB20" s="18"/>
      <c r="AC20" s="18"/>
      <c r="AD20" s="18"/>
    </row>
    <row r="21" spans="1:30" ht="18" customHeight="1">
      <c r="A21" s="90" t="s">
        <v>94</v>
      </c>
      <c r="B21" s="94">
        <f t="shared" ref="B21:T21" si="2">SUM(B17:B19)</f>
        <v>3020131</v>
      </c>
      <c r="C21" s="94">
        <f t="shared" si="2"/>
        <v>3177898</v>
      </c>
      <c r="D21" s="94">
        <f t="shared" si="2"/>
        <v>3210582</v>
      </c>
      <c r="E21" s="94">
        <f t="shared" si="2"/>
        <v>3502244</v>
      </c>
      <c r="F21" s="94">
        <f t="shared" si="2"/>
        <v>3417611</v>
      </c>
      <c r="G21" s="94">
        <f t="shared" si="2"/>
        <v>3375606</v>
      </c>
      <c r="H21" s="94">
        <f t="shared" si="2"/>
        <v>3472068</v>
      </c>
      <c r="I21" s="94">
        <f t="shared" si="2"/>
        <v>3108706</v>
      </c>
      <c r="J21" s="94">
        <f t="shared" si="2"/>
        <v>3911493</v>
      </c>
      <c r="K21" s="94">
        <f t="shared" si="2"/>
        <v>3933979</v>
      </c>
      <c r="L21" s="94">
        <f t="shared" si="2"/>
        <v>3548912</v>
      </c>
      <c r="M21" s="94">
        <f t="shared" si="2"/>
        <v>3421695</v>
      </c>
      <c r="N21" s="94">
        <f t="shared" si="2"/>
        <v>3476511</v>
      </c>
      <c r="O21" s="94">
        <f t="shared" si="2"/>
        <v>3355037</v>
      </c>
      <c r="P21" s="94">
        <f t="shared" si="2"/>
        <v>3404840</v>
      </c>
      <c r="Q21" s="94">
        <f t="shared" si="2"/>
        <v>3057650</v>
      </c>
      <c r="R21" s="94">
        <f t="shared" si="2"/>
        <v>2782038</v>
      </c>
      <c r="S21" s="94">
        <f t="shared" si="2"/>
        <v>2752352</v>
      </c>
      <c r="T21" s="94">
        <f t="shared" si="2"/>
        <v>2832982</v>
      </c>
      <c r="U21" s="94">
        <v>2672805</v>
      </c>
      <c r="V21" s="95">
        <v>2797906</v>
      </c>
      <c r="W21" s="223">
        <v>2797906</v>
      </c>
      <c r="X21" s="23"/>
      <c r="Y21" s="3"/>
      <c r="Z21" s="18"/>
      <c r="AA21" s="18"/>
      <c r="AB21" s="18"/>
      <c r="AC21" s="18"/>
      <c r="AD21" s="18"/>
    </row>
    <row r="22" spans="1:30" ht="18" customHeight="1">
      <c r="A22" s="90" t="s">
        <v>29</v>
      </c>
      <c r="B22" s="40">
        <f>B19/(B17+B19)</f>
        <v>6.5629272372622241E-2</v>
      </c>
      <c r="C22" s="40">
        <f t="shared" ref="C22:W22" si="3">C19/(C17+C19)</f>
        <v>5.8191609674067578E-2</v>
      </c>
      <c r="D22" s="40">
        <f t="shared" si="3"/>
        <v>4.9772284277430072E-2</v>
      </c>
      <c r="E22" s="40">
        <f t="shared" si="3"/>
        <v>4.6330295661867076E-2</v>
      </c>
      <c r="F22" s="40">
        <f t="shared" si="3"/>
        <v>4.6394103951561488E-2</v>
      </c>
      <c r="G22" s="40">
        <f t="shared" si="3"/>
        <v>4.9000683136598285E-2</v>
      </c>
      <c r="H22" s="40">
        <f t="shared" si="3"/>
        <v>5.0229430990406873E-2</v>
      </c>
      <c r="I22" s="40">
        <f t="shared" si="3"/>
        <v>5.9535703923111416E-2</v>
      </c>
      <c r="J22" s="40">
        <f t="shared" si="3"/>
        <v>6.3407246286775923E-2</v>
      </c>
      <c r="K22" s="40">
        <f t="shared" si="3"/>
        <v>6.9605099569672341E-2</v>
      </c>
      <c r="L22" s="40">
        <f t="shared" si="3"/>
        <v>6.5423149404662609E-2</v>
      </c>
      <c r="M22" s="40">
        <f t="shared" si="3"/>
        <v>6.5049924087330985E-2</v>
      </c>
      <c r="N22" s="40">
        <f t="shared" si="3"/>
        <v>6.4037478955193877E-2</v>
      </c>
      <c r="O22" s="40">
        <f t="shared" si="3"/>
        <v>6.4380213988698184E-2</v>
      </c>
      <c r="P22" s="40">
        <f t="shared" si="3"/>
        <v>5.7134843340656244E-2</v>
      </c>
      <c r="Q22" s="40">
        <f t="shared" si="3"/>
        <v>5.4951678576684711E-2</v>
      </c>
      <c r="R22" s="40">
        <f t="shared" si="3"/>
        <v>6.1424394634437059E-2</v>
      </c>
      <c r="S22" s="40">
        <f t="shared" si="3"/>
        <v>6.0552574670681654E-2</v>
      </c>
      <c r="T22" s="40">
        <f t="shared" si="3"/>
        <v>5.6555248144887611E-2</v>
      </c>
      <c r="U22" s="40">
        <f t="shared" si="3"/>
        <v>5.8100759314652584E-2</v>
      </c>
      <c r="V22" s="40">
        <f t="shared" si="3"/>
        <v>5.3213010015347194E-2</v>
      </c>
      <c r="W22" s="239">
        <f t="shared" si="3"/>
        <v>5.3654039478497235E-2</v>
      </c>
      <c r="X22" s="23"/>
      <c r="Y22" s="3"/>
      <c r="Z22" s="18"/>
      <c r="AA22" s="18"/>
      <c r="AB22" s="18"/>
      <c r="AC22" s="18"/>
      <c r="AD22" s="18"/>
    </row>
    <row r="23" spans="1:30" ht="18" customHeight="1">
      <c r="A23" s="23"/>
      <c r="B23" s="102"/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102"/>
      <c r="Q23" s="102"/>
      <c r="R23" s="102"/>
      <c r="S23" s="102"/>
      <c r="T23" s="102"/>
      <c r="U23" s="102"/>
      <c r="V23" s="103"/>
      <c r="W23" s="238"/>
      <c r="X23" s="23"/>
      <c r="Y23" s="3"/>
      <c r="Z23" s="18"/>
      <c r="AA23" s="18"/>
      <c r="AB23" s="18"/>
      <c r="AC23" s="18"/>
      <c r="AD23" s="18"/>
    </row>
    <row r="24" spans="1:30" ht="18" customHeight="1">
      <c r="A24" s="101" t="s">
        <v>27</v>
      </c>
      <c r="B24" s="96"/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6"/>
      <c r="T24" s="96"/>
      <c r="U24" s="96"/>
      <c r="V24" s="97"/>
      <c r="W24" s="238"/>
      <c r="X24" s="23"/>
      <c r="Y24" s="3"/>
      <c r="Z24" s="18"/>
      <c r="AA24" s="18"/>
      <c r="AB24" s="18"/>
      <c r="AC24" s="18"/>
      <c r="AD24" s="18"/>
    </row>
    <row r="25" spans="1:30" ht="18" customHeight="1">
      <c r="A25" s="23" t="s">
        <v>11</v>
      </c>
      <c r="B25" s="52">
        <f>B13+(B$19*(B13/B$17))</f>
        <v>1512460.6948983707</v>
      </c>
      <c r="C25" s="52">
        <f t="shared" ref="C25:W25" si="4">C13+(C$19*(C13/C$17))</f>
        <v>1551936.6943568781</v>
      </c>
      <c r="D25" s="52">
        <f t="shared" si="4"/>
        <v>1578175.3943681363</v>
      </c>
      <c r="E25" s="52">
        <f t="shared" si="4"/>
        <v>1724436.6603229237</v>
      </c>
      <c r="F25" s="52">
        <f t="shared" si="4"/>
        <v>1748143.5537551695</v>
      </c>
      <c r="G25" s="52">
        <f t="shared" si="4"/>
        <v>1708593.2357545434</v>
      </c>
      <c r="H25" s="52">
        <f t="shared" si="4"/>
        <v>1763091.0607665782</v>
      </c>
      <c r="I25" s="52">
        <f t="shared" si="4"/>
        <v>1693154.1225354671</v>
      </c>
      <c r="J25" s="52">
        <f t="shared" si="4"/>
        <v>2028209.157575483</v>
      </c>
      <c r="K25" s="52">
        <f t="shared" si="4"/>
        <v>1948326.457036234</v>
      </c>
      <c r="L25" s="52">
        <f t="shared" si="4"/>
        <v>1638688.1389416265</v>
      </c>
      <c r="M25" s="52">
        <f t="shared" si="4"/>
        <v>1560968.9090354391</v>
      </c>
      <c r="N25" s="52">
        <f t="shared" si="4"/>
        <v>1590435.4784829454</v>
      </c>
      <c r="O25" s="52">
        <f t="shared" si="4"/>
        <v>1625479.7330479168</v>
      </c>
      <c r="P25" s="52">
        <f t="shared" si="4"/>
        <v>1638733.7988758078</v>
      </c>
      <c r="Q25" s="52">
        <f t="shared" si="4"/>
        <v>1527099.6913961559</v>
      </c>
      <c r="R25" s="52">
        <f t="shared" si="4"/>
        <v>1443227.3673599365</v>
      </c>
      <c r="S25" s="52">
        <f t="shared" si="4"/>
        <v>1430743.1834504523</v>
      </c>
      <c r="T25" s="52">
        <f t="shared" si="4"/>
        <v>1497852.4150156281</v>
      </c>
      <c r="U25" s="52">
        <f t="shared" si="4"/>
        <v>1495420.0398071429</v>
      </c>
      <c r="V25" s="52">
        <f t="shared" si="4"/>
        <v>1548390.5202623913</v>
      </c>
      <c r="W25" s="224">
        <f t="shared" si="4"/>
        <v>1329323.5798320037</v>
      </c>
      <c r="X25" s="23"/>
      <c r="Y25" s="3"/>
      <c r="Z25" s="18"/>
      <c r="AA25" s="18"/>
      <c r="AB25" s="18"/>
      <c r="AC25" s="18"/>
      <c r="AD25" s="18"/>
    </row>
    <row r="26" spans="1:30" ht="18" customHeight="1">
      <c r="A26" s="23" t="s">
        <v>6</v>
      </c>
      <c r="B26" s="52">
        <f>B14+(B$19*(B14/B$17))</f>
        <v>861524.20682534808</v>
      </c>
      <c r="C26" s="52">
        <f t="shared" ref="C26:W26" si="5">C14+(C$19*(C14/C$17))</f>
        <v>974823.55161677138</v>
      </c>
      <c r="D26" s="52">
        <f t="shared" si="5"/>
        <v>1057025.5775335126</v>
      </c>
      <c r="E26" s="52">
        <f t="shared" si="5"/>
        <v>1216347.7509281482</v>
      </c>
      <c r="F26" s="52">
        <f t="shared" si="5"/>
        <v>1168118.8262529557</v>
      </c>
      <c r="G26" s="52">
        <f t="shared" si="5"/>
        <v>1154117.5482859474</v>
      </c>
      <c r="H26" s="52">
        <f t="shared" si="5"/>
        <v>1175327.0067781233</v>
      </c>
      <c r="I26" s="52">
        <f t="shared" si="5"/>
        <v>1048545.9194076399</v>
      </c>
      <c r="J26" s="52">
        <f t="shared" si="5"/>
        <v>1413729.7077630644</v>
      </c>
      <c r="K26" s="52">
        <f t="shared" si="5"/>
        <v>1349142.1754562785</v>
      </c>
      <c r="L26" s="52">
        <f t="shared" si="5"/>
        <v>1139100.5451524407</v>
      </c>
      <c r="M26" s="52">
        <f t="shared" si="5"/>
        <v>1079900.4417582494</v>
      </c>
      <c r="N26" s="52">
        <f t="shared" si="5"/>
        <v>1062080.9889805538</v>
      </c>
      <c r="O26" s="52">
        <f t="shared" si="5"/>
        <v>1068127.2616737161</v>
      </c>
      <c r="P26" s="52">
        <f t="shared" si="5"/>
        <v>1127052.9963850786</v>
      </c>
      <c r="Q26" s="52">
        <f t="shared" si="5"/>
        <v>973492.02061373321</v>
      </c>
      <c r="R26" s="52">
        <f t="shared" si="5"/>
        <v>884706.56519629457</v>
      </c>
      <c r="S26" s="52">
        <f t="shared" si="5"/>
        <v>830823.50215223012</v>
      </c>
      <c r="T26" s="52">
        <f t="shared" si="5"/>
        <v>893883.8213278997</v>
      </c>
      <c r="U26" s="52">
        <f t="shared" si="5"/>
        <v>792129.31465696509</v>
      </c>
      <c r="V26" s="52">
        <f t="shared" si="5"/>
        <v>821334.69114589877</v>
      </c>
      <c r="W26" s="224">
        <f t="shared" si="5"/>
        <v>871003.8763686053</v>
      </c>
      <c r="X26" s="23"/>
      <c r="Y26" s="3"/>
      <c r="Z26" s="18"/>
      <c r="AA26" s="18"/>
      <c r="AB26" s="18"/>
      <c r="AC26" s="18"/>
      <c r="AD26" s="18"/>
    </row>
    <row r="27" spans="1:30" ht="18" customHeight="1">
      <c r="A27" s="23" t="s">
        <v>12</v>
      </c>
      <c r="B27" s="52">
        <f>B15+(B$19*(B15/B$17))</f>
        <v>646146.09827628115</v>
      </c>
      <c r="C27" s="52">
        <f t="shared" ref="C27:W27" si="6">C15+(C$19*(C15/C$17))</f>
        <v>624804.37214660621</v>
      </c>
      <c r="D27" s="52">
        <f t="shared" si="6"/>
        <v>550884.79460099433</v>
      </c>
      <c r="E27" s="52">
        <f t="shared" si="6"/>
        <v>531961.95463930361</v>
      </c>
      <c r="F27" s="52">
        <f t="shared" si="6"/>
        <v>482347.05962497095</v>
      </c>
      <c r="G27" s="52">
        <f t="shared" si="6"/>
        <v>500234.84934672277</v>
      </c>
      <c r="H27" s="52">
        <f t="shared" si="6"/>
        <v>523286.37695971818</v>
      </c>
      <c r="I27" s="52">
        <f t="shared" si="6"/>
        <v>351448.7486433803</v>
      </c>
      <c r="J27" s="52">
        <f t="shared" si="6"/>
        <v>434338.18848929269</v>
      </c>
      <c r="K27" s="52">
        <f t="shared" si="6"/>
        <v>585999.55755113042</v>
      </c>
      <c r="L27" s="52">
        <f t="shared" si="6"/>
        <v>723599.13427046093</v>
      </c>
      <c r="M27" s="52">
        <f t="shared" si="6"/>
        <v>732062.61770915322</v>
      </c>
      <c r="N27" s="52">
        <f t="shared" si="6"/>
        <v>802209.47219323122</v>
      </c>
      <c r="O27" s="52">
        <f t="shared" si="6"/>
        <v>644337.59205763298</v>
      </c>
      <c r="P27" s="52">
        <f t="shared" si="6"/>
        <v>607984.07487139071</v>
      </c>
      <c r="Q27" s="52">
        <f t="shared" si="6"/>
        <v>530355.94967793417</v>
      </c>
      <c r="R27" s="52">
        <f t="shared" si="6"/>
        <v>439378.56219838513</v>
      </c>
      <c r="S27" s="52">
        <f t="shared" si="6"/>
        <v>485580.12689224153</v>
      </c>
      <c r="T27" s="52">
        <f t="shared" si="6"/>
        <v>434506.63029704854</v>
      </c>
      <c r="U27" s="52">
        <f t="shared" si="6"/>
        <v>374252.34544568392</v>
      </c>
      <c r="V27" s="52">
        <f t="shared" si="6"/>
        <v>413862.89011676388</v>
      </c>
      <c r="W27" s="224">
        <f t="shared" si="6"/>
        <v>543820.14767241816</v>
      </c>
      <c r="X27" s="23"/>
      <c r="Y27" s="3"/>
      <c r="Z27" s="18"/>
      <c r="AA27" s="18"/>
      <c r="AB27" s="18"/>
      <c r="AC27" s="18"/>
      <c r="AD27" s="18"/>
    </row>
    <row r="28" spans="1:30" ht="18" customHeight="1">
      <c r="A28" s="23" t="s">
        <v>13</v>
      </c>
      <c r="B28" s="52">
        <f t="shared" ref="B28:W28" si="7">B16+(B$19*(B16/B$17))</f>
        <v>0</v>
      </c>
      <c r="C28" s="52">
        <f t="shared" si="7"/>
        <v>26333.38187974424</v>
      </c>
      <c r="D28" s="52">
        <f t="shared" si="7"/>
        <v>24496.233497356745</v>
      </c>
      <c r="E28" s="52">
        <f t="shared" si="7"/>
        <v>29497.634109624476</v>
      </c>
      <c r="F28" s="52">
        <f t="shared" si="7"/>
        <v>19001.560366904014</v>
      </c>
      <c r="G28" s="52">
        <f t="shared" si="7"/>
        <v>12660.366612786311</v>
      </c>
      <c r="H28" s="52">
        <f t="shared" si="7"/>
        <v>10363.555495580513</v>
      </c>
      <c r="I28" s="52">
        <f t="shared" si="7"/>
        <v>15557.209413512735</v>
      </c>
      <c r="J28" s="52">
        <f t="shared" si="7"/>
        <v>35215.946172159995</v>
      </c>
      <c r="K28" s="52">
        <f t="shared" si="7"/>
        <v>50510.809956357029</v>
      </c>
      <c r="L28" s="52">
        <f t="shared" si="7"/>
        <v>47524.181635471796</v>
      </c>
      <c r="M28" s="52">
        <f t="shared" si="7"/>
        <v>48763.031497158277</v>
      </c>
      <c r="N28" s="52">
        <f t="shared" si="7"/>
        <v>21785.060343269768</v>
      </c>
      <c r="O28" s="52">
        <f t="shared" si="7"/>
        <v>17092.413220734117</v>
      </c>
      <c r="P28" s="52">
        <f t="shared" si="7"/>
        <v>31069.129867722848</v>
      </c>
      <c r="Q28" s="52">
        <f t="shared" si="7"/>
        <v>26702.338312176624</v>
      </c>
      <c r="R28" s="52">
        <f t="shared" si="7"/>
        <v>14725.505245383936</v>
      </c>
      <c r="S28" s="52">
        <f t="shared" si="7"/>
        <v>5205.1875050760145</v>
      </c>
      <c r="T28" s="52">
        <f t="shared" si="7"/>
        <v>6739.1333594236976</v>
      </c>
      <c r="U28" s="52">
        <f t="shared" si="7"/>
        <v>11003.300090208075</v>
      </c>
      <c r="V28" s="52">
        <f t="shared" si="7"/>
        <v>14317.898474946027</v>
      </c>
      <c r="W28" s="224">
        <f t="shared" si="7"/>
        <v>14265.396126973012</v>
      </c>
      <c r="X28" s="23"/>
      <c r="Y28" s="3"/>
      <c r="Z28" s="18"/>
      <c r="AA28" s="18"/>
      <c r="AB28" s="18"/>
      <c r="AC28" s="18"/>
      <c r="AD28" s="18"/>
    </row>
    <row r="29" spans="1:30" ht="18" customHeight="1">
      <c r="A29" s="90" t="s">
        <v>28</v>
      </c>
      <c r="B29" s="98">
        <f>SUM(B25:B28)</f>
        <v>3020131</v>
      </c>
      <c r="C29" s="98">
        <f t="shared" ref="C29:W29" si="8">SUM(C25:C28)</f>
        <v>3177898</v>
      </c>
      <c r="D29" s="98">
        <f t="shared" si="8"/>
        <v>3210581.9999999995</v>
      </c>
      <c r="E29" s="98">
        <f t="shared" si="8"/>
        <v>3502244</v>
      </c>
      <c r="F29" s="98">
        <f t="shared" si="8"/>
        <v>3417611</v>
      </c>
      <c r="G29" s="98">
        <f t="shared" si="8"/>
        <v>3375606.0000000005</v>
      </c>
      <c r="H29" s="98">
        <f t="shared" si="8"/>
        <v>3472068.0000000005</v>
      </c>
      <c r="I29" s="98">
        <f t="shared" si="8"/>
        <v>3108705.9999999995</v>
      </c>
      <c r="J29" s="98">
        <f t="shared" si="8"/>
        <v>3911493</v>
      </c>
      <c r="K29" s="98">
        <f t="shared" si="8"/>
        <v>3933979</v>
      </c>
      <c r="L29" s="98">
        <f t="shared" si="8"/>
        <v>3548912</v>
      </c>
      <c r="M29" s="98">
        <f t="shared" si="8"/>
        <v>3421695</v>
      </c>
      <c r="N29" s="98">
        <f t="shared" si="8"/>
        <v>3476511</v>
      </c>
      <c r="O29" s="98">
        <f t="shared" si="8"/>
        <v>3355037</v>
      </c>
      <c r="P29" s="98">
        <f t="shared" si="8"/>
        <v>3404840</v>
      </c>
      <c r="Q29" s="98">
        <f t="shared" si="8"/>
        <v>3057649.9999999995</v>
      </c>
      <c r="R29" s="98">
        <f t="shared" si="8"/>
        <v>2782038</v>
      </c>
      <c r="S29" s="98">
        <f t="shared" si="8"/>
        <v>2752352.0000000005</v>
      </c>
      <c r="T29" s="98">
        <f t="shared" si="8"/>
        <v>2832982</v>
      </c>
      <c r="U29" s="98">
        <f t="shared" si="8"/>
        <v>2672805.0000000005</v>
      </c>
      <c r="V29" s="98">
        <f t="shared" si="8"/>
        <v>2797906</v>
      </c>
      <c r="W29" s="225">
        <f t="shared" si="8"/>
        <v>2758413</v>
      </c>
      <c r="X29" s="23"/>
      <c r="Y29" s="3"/>
      <c r="Z29" s="18"/>
      <c r="AA29" s="18"/>
      <c r="AB29" s="18"/>
      <c r="AC29" s="18"/>
      <c r="AD29" s="18"/>
    </row>
    <row r="30" spans="1:30" ht="18" customHeight="1">
      <c r="A30" s="23"/>
      <c r="B30" s="83"/>
      <c r="C30" s="83"/>
      <c r="D30" s="83"/>
      <c r="E30" s="83"/>
      <c r="F30" s="83"/>
      <c r="G30" s="83"/>
      <c r="H30" s="83"/>
      <c r="I30" s="83"/>
      <c r="J30" s="83"/>
      <c r="K30" s="83"/>
      <c r="L30" s="83"/>
      <c r="M30" s="83"/>
      <c r="N30" s="83"/>
      <c r="O30" s="83"/>
      <c r="P30" s="83"/>
      <c r="Q30" s="83"/>
      <c r="R30" s="83"/>
      <c r="S30" s="83"/>
      <c r="T30" s="83"/>
      <c r="U30" s="83"/>
      <c r="V30" s="83"/>
      <c r="W30" s="238"/>
      <c r="X30" s="33"/>
      <c r="Y30" s="3"/>
      <c r="Z30" s="18"/>
      <c r="AA30" s="18"/>
      <c r="AB30" s="18"/>
      <c r="AC30" s="18"/>
      <c r="AD30" s="18"/>
    </row>
    <row r="31" spans="1:30" ht="18" customHeight="1">
      <c r="A31" s="101" t="s">
        <v>96</v>
      </c>
      <c r="B31" s="16"/>
      <c r="C31" s="14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75"/>
      <c r="W31" s="238"/>
      <c r="X31" s="3"/>
      <c r="Y31" s="3"/>
      <c r="Z31" s="18"/>
      <c r="AA31" s="18"/>
      <c r="AB31" s="18"/>
      <c r="AC31" s="18"/>
      <c r="AD31" s="18"/>
    </row>
    <row r="32" spans="1:30" ht="18" customHeight="1">
      <c r="A32" s="23" t="s">
        <v>11</v>
      </c>
      <c r="B32" s="72">
        <v>342.91935044906103</v>
      </c>
      <c r="C32" s="72">
        <v>347.0017236686927</v>
      </c>
      <c r="D32" s="72">
        <v>358.79524630318423</v>
      </c>
      <c r="E32" s="72">
        <v>361.06323142520182</v>
      </c>
      <c r="F32" s="72">
        <v>368.77438084006167</v>
      </c>
      <c r="G32" s="72">
        <v>372.40315703528984</v>
      </c>
      <c r="H32" s="79">
        <v>377.39272430372853</v>
      </c>
      <c r="I32" s="72">
        <v>378.75351537693911</v>
      </c>
      <c r="J32" s="72">
        <v>378.2999183525356</v>
      </c>
      <c r="K32" s="72">
        <v>375.12473918171094</v>
      </c>
      <c r="L32" s="72">
        <v>381.4750975233602</v>
      </c>
      <c r="M32" s="72">
        <v>381</v>
      </c>
      <c r="N32" s="80">
        <v>381.92869454776377</v>
      </c>
      <c r="O32" s="80">
        <v>383.74308264537785</v>
      </c>
      <c r="P32" s="80">
        <f>849/2.2046</f>
        <v>385.10387371858837</v>
      </c>
      <c r="Q32" s="72">
        <f>856/2.2046</f>
        <v>388.27905288941304</v>
      </c>
      <c r="R32" s="72">
        <v>398.25818742629048</v>
      </c>
      <c r="S32" s="81">
        <v>396.44379932867639</v>
      </c>
      <c r="T32" s="81">
        <f>285/0.73</f>
        <v>390.41095890410958</v>
      </c>
      <c r="U32" s="81">
        <f>296/0.73</f>
        <v>405.47945205479454</v>
      </c>
      <c r="V32" s="82">
        <v>416.85566542683478</v>
      </c>
      <c r="W32" s="227">
        <v>415</v>
      </c>
      <c r="X32" s="3"/>
      <c r="Y32" s="41"/>
      <c r="Z32" s="18"/>
      <c r="AA32" s="18"/>
      <c r="AB32" s="18"/>
      <c r="AC32" s="18"/>
      <c r="AD32" s="18"/>
    </row>
    <row r="33" spans="1:30" ht="18" customHeight="1">
      <c r="A33" s="23" t="s">
        <v>6</v>
      </c>
      <c r="B33" s="72">
        <v>311.16755874081463</v>
      </c>
      <c r="C33" s="72">
        <v>317.97151410686746</v>
      </c>
      <c r="D33" s="72">
        <v>331.57942483897301</v>
      </c>
      <c r="E33" s="72">
        <v>335.66179805860475</v>
      </c>
      <c r="F33" s="72">
        <v>345.64093259548218</v>
      </c>
      <c r="G33" s="72">
        <v>349.2697087907103</v>
      </c>
      <c r="H33" s="79">
        <v>352.44488796153496</v>
      </c>
      <c r="I33" s="72">
        <v>354.25927605914904</v>
      </c>
      <c r="J33" s="72">
        <v>353.35208201034197</v>
      </c>
      <c r="K33" s="72">
        <v>350.17690283951737</v>
      </c>
      <c r="L33" s="72">
        <v>353.35208201034197</v>
      </c>
      <c r="M33" s="72">
        <v>355.16647010795606</v>
      </c>
      <c r="N33" s="80">
        <v>358</v>
      </c>
      <c r="O33" s="80">
        <v>356.98085820557014</v>
      </c>
      <c r="P33" s="80">
        <f>786/2.2046</f>
        <v>356.52726118116664</v>
      </c>
      <c r="Q33" s="72">
        <f>784/2.2046</f>
        <v>355.62006713235957</v>
      </c>
      <c r="R33" s="72">
        <v>371.49596298648277</v>
      </c>
      <c r="S33" s="81">
        <v>368.32078381565816</v>
      </c>
      <c r="T33" s="81">
        <f>263/0.73</f>
        <v>360.27397260273972</v>
      </c>
      <c r="U33" s="81">
        <f>273/0.73</f>
        <v>373.97260273972603</v>
      </c>
      <c r="V33" s="82">
        <v>381.47509752336026</v>
      </c>
      <c r="W33" s="227">
        <v>376</v>
      </c>
      <c r="X33" s="3"/>
      <c r="Y33" s="41"/>
      <c r="Z33" s="18"/>
      <c r="AA33" s="18"/>
      <c r="AB33" s="18"/>
      <c r="AC33" s="18"/>
      <c r="AD33" s="18"/>
    </row>
    <row r="34" spans="1:30" ht="18" customHeight="1">
      <c r="A34" s="23" t="s">
        <v>12</v>
      </c>
      <c r="B34" s="72">
        <v>275.33339381293655</v>
      </c>
      <c r="C34" s="72">
        <v>278.05497595935771</v>
      </c>
      <c r="D34" s="72">
        <v>288.94130454504216</v>
      </c>
      <c r="E34" s="72">
        <v>296.652453959902</v>
      </c>
      <c r="F34" s="72">
        <v>310.26036469200761</v>
      </c>
      <c r="G34" s="72">
        <v>314.7963349360428</v>
      </c>
      <c r="H34" s="79">
        <v>319.33230518007798</v>
      </c>
      <c r="I34" s="72">
        <v>318.42511113127097</v>
      </c>
      <c r="J34" s="72">
        <v>298.9204390819196</v>
      </c>
      <c r="K34" s="72">
        <v>300.73482717953368</v>
      </c>
      <c r="L34" s="72">
        <v>304.36360337476185</v>
      </c>
      <c r="M34" s="72">
        <v>305.27079742356887</v>
      </c>
      <c r="N34" s="80">
        <v>308</v>
      </c>
      <c r="O34" s="80">
        <v>305.72439444797243</v>
      </c>
      <c r="P34" s="80">
        <f>672/2.2046</f>
        <v>304.81720039916536</v>
      </c>
      <c r="Q34" s="72">
        <f>669/2.2046</f>
        <v>303.45640932595478</v>
      </c>
      <c r="R34" s="72">
        <v>306.63158849677944</v>
      </c>
      <c r="S34" s="81">
        <v>303.91000635035834</v>
      </c>
      <c r="T34" s="81">
        <f>226/0.73</f>
        <v>309.58904109589042</v>
      </c>
      <c r="U34" s="81">
        <f>240/0.73</f>
        <v>328.76712328767127</v>
      </c>
      <c r="V34" s="82">
        <v>338.83697722942935</v>
      </c>
      <c r="W34" s="227">
        <v>335</v>
      </c>
      <c r="X34" s="3"/>
      <c r="Y34" s="41"/>
      <c r="Z34" s="18"/>
      <c r="AA34" s="18"/>
      <c r="AB34" s="18"/>
      <c r="AC34" s="18"/>
      <c r="AD34" s="18"/>
    </row>
    <row r="35" spans="1:30" ht="18" customHeight="1">
      <c r="A35" s="23" t="s">
        <v>13</v>
      </c>
      <c r="B35" s="72">
        <v>383.28948562097429</v>
      </c>
      <c r="C35" s="72">
        <v>373.31035108409685</v>
      </c>
      <c r="D35" s="72">
        <v>400.52617254830807</v>
      </c>
      <c r="E35" s="72">
        <v>411.86609815839608</v>
      </c>
      <c r="F35" s="72">
        <v>417.76285947564179</v>
      </c>
      <c r="G35" s="72">
        <v>413.68048625601011</v>
      </c>
      <c r="H35" s="79">
        <v>414.13408328041368</v>
      </c>
      <c r="I35" s="72">
        <v>447.2466660618706</v>
      </c>
      <c r="J35" s="72">
        <v>460.4009797695727</v>
      </c>
      <c r="K35" s="72">
        <v>470.83371133085365</v>
      </c>
      <c r="L35" s="72">
        <v>466.29774108681846</v>
      </c>
      <c r="M35" s="72">
        <v>463.1225619159938</v>
      </c>
      <c r="N35" s="80">
        <v>454</v>
      </c>
      <c r="O35" s="80">
        <v>432.27796425655447</v>
      </c>
      <c r="P35" s="80">
        <f>1010/2.2046</f>
        <v>458.13299464755511</v>
      </c>
      <c r="Q35" s="72">
        <f>996/2.2046</f>
        <v>451.78263630590578</v>
      </c>
      <c r="R35" s="72">
        <v>452.23623333030935</v>
      </c>
      <c r="S35" s="81">
        <v>394.1758142066588</v>
      </c>
      <c r="T35" s="81">
        <f>307/0.73</f>
        <v>420.54794520547944</v>
      </c>
      <c r="U35" s="81">
        <f>332/0.73</f>
        <v>454.79452054794524</v>
      </c>
      <c r="V35" s="82">
        <v>460.85457679397621</v>
      </c>
      <c r="W35" s="227">
        <v>476</v>
      </c>
      <c r="X35" s="3"/>
      <c r="Y35" s="41"/>
      <c r="Z35" s="18"/>
      <c r="AA35" s="18"/>
      <c r="AB35" s="18"/>
      <c r="AC35" s="18"/>
      <c r="AD35" s="18"/>
    </row>
    <row r="36" spans="1:30" ht="18" customHeight="1">
      <c r="A36" s="90" t="s">
        <v>101</v>
      </c>
      <c r="B36" s="104">
        <f>((B13*B32)+(B14*B33)+(B15*B34)+(B16*B35))/B17</f>
        <v>319.40204628396606</v>
      </c>
      <c r="C36" s="104">
        <f t="shared" ref="C36:W36" si="9">((C13*C32)+(C14*C33)+(C15*C34)+(C16*C35))/C17</f>
        <v>324.75910723768789</v>
      </c>
      <c r="D36" s="104">
        <f t="shared" si="9"/>
        <v>338.16750863898523</v>
      </c>
      <c r="E36" s="104">
        <f t="shared" si="9"/>
        <v>342.88560158231422</v>
      </c>
      <c r="F36" s="104">
        <f t="shared" si="9"/>
        <v>352.88145958236828</v>
      </c>
      <c r="G36" s="104">
        <f t="shared" si="9"/>
        <v>356.11183855059005</v>
      </c>
      <c r="H36" s="104">
        <f t="shared" si="9"/>
        <v>360.30684894964543</v>
      </c>
      <c r="I36" s="104">
        <f t="shared" si="9"/>
        <v>364.01422688299397</v>
      </c>
      <c r="J36" s="104">
        <f t="shared" si="9"/>
        <v>361.20778242094809</v>
      </c>
      <c r="K36" s="104">
        <f t="shared" si="9"/>
        <v>356.71683817058863</v>
      </c>
      <c r="L36" s="104">
        <f t="shared" si="9"/>
        <v>357.86176870852159</v>
      </c>
      <c r="M36" s="104">
        <f t="shared" si="9"/>
        <v>357.8151125262815</v>
      </c>
      <c r="N36" s="104">
        <f t="shared" si="9"/>
        <v>358.01091236180105</v>
      </c>
      <c r="O36" s="104">
        <f t="shared" si="9"/>
        <v>360.48663064688031</v>
      </c>
      <c r="P36" s="104">
        <f t="shared" si="9"/>
        <v>361.9746152667434</v>
      </c>
      <c r="Q36" s="104">
        <f t="shared" si="9"/>
        <v>363.72301751953836</v>
      </c>
      <c r="R36" s="104">
        <f t="shared" si="9"/>
        <v>375.56237056115924</v>
      </c>
      <c r="S36" s="104">
        <f t="shared" si="9"/>
        <v>371.62515750391771</v>
      </c>
      <c r="T36" s="104">
        <f t="shared" si="9"/>
        <v>368.577595165959</v>
      </c>
      <c r="U36" s="104">
        <f t="shared" si="9"/>
        <v>385.60346431044263</v>
      </c>
      <c r="V36" s="104">
        <f t="shared" si="9"/>
        <v>395.1543088958789</v>
      </c>
      <c r="W36" s="226">
        <f t="shared" si="9"/>
        <v>387.22875115929929</v>
      </c>
      <c r="X36" s="9"/>
      <c r="Y36" s="41"/>
      <c r="Z36" s="18"/>
      <c r="AA36" s="18"/>
      <c r="AB36" s="18"/>
      <c r="AC36" s="18"/>
      <c r="AD36" s="18"/>
    </row>
    <row r="37" spans="1:30" ht="18" customHeight="1">
      <c r="A37" s="23"/>
      <c r="B37" s="76"/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238"/>
      <c r="X37" s="9"/>
      <c r="Y37" s="41"/>
      <c r="Z37" s="18"/>
      <c r="AA37" s="18"/>
      <c r="AB37" s="18"/>
      <c r="AC37" s="18"/>
      <c r="AD37" s="18"/>
    </row>
    <row r="38" spans="1:30" ht="18" customHeight="1">
      <c r="A38" s="101" t="s">
        <v>97</v>
      </c>
      <c r="B38" s="66"/>
      <c r="C38" s="66"/>
      <c r="D38" s="66"/>
      <c r="E38" s="66"/>
      <c r="F38" s="66"/>
      <c r="G38" s="66"/>
      <c r="H38" s="77"/>
      <c r="I38" s="66"/>
      <c r="J38" s="66"/>
      <c r="K38" s="66"/>
      <c r="L38" s="66"/>
      <c r="M38" s="66"/>
      <c r="N38" s="77"/>
      <c r="O38" s="65"/>
      <c r="P38" s="66"/>
      <c r="Q38" s="66"/>
      <c r="R38" s="66"/>
      <c r="S38" s="66"/>
      <c r="T38" s="66"/>
      <c r="U38" s="66"/>
      <c r="V38" s="66"/>
      <c r="W38" s="238"/>
      <c r="Z38" s="18"/>
      <c r="AA38" s="18"/>
      <c r="AB38" s="18"/>
      <c r="AC38" s="18"/>
      <c r="AD38" s="18"/>
    </row>
    <row r="39" spans="1:30" ht="18" customHeight="1">
      <c r="A39" s="23" t="s">
        <v>11</v>
      </c>
      <c r="B39" s="48">
        <f t="shared" ref="B39:G39" si="10">(B25*B32)/1000000</f>
        <v>518.65203907428474</v>
      </c>
      <c r="C39" s="48">
        <f t="shared" si="10"/>
        <v>538.52470796652983</v>
      </c>
      <c r="D39" s="48">
        <f t="shared" si="10"/>
        <v>566.24182933194038</v>
      </c>
      <c r="E39" s="48">
        <f t="shared" si="10"/>
        <v>622.63067296427801</v>
      </c>
      <c r="F39" s="48">
        <f t="shared" si="10"/>
        <v>644.6705566556077</v>
      </c>
      <c r="G39" s="48">
        <f t="shared" si="10"/>
        <v>636.28551508413329</v>
      </c>
      <c r="H39" s="48">
        <f>(H25*H32)/1000000</f>
        <v>665.37773861824951</v>
      </c>
      <c r="I39" s="48">
        <f t="shared" ref="I39:S39" si="11">(I25*I32)/1000000</f>
        <v>641.28807598526487</v>
      </c>
      <c r="J39" s="48">
        <f t="shared" si="11"/>
        <v>767.27135871267024</v>
      </c>
      <c r="K39" s="48">
        <f t="shared" si="11"/>
        <v>730.86545403654418</v>
      </c>
      <c r="L39" s="48">
        <f t="shared" si="11"/>
        <v>625.11871761313057</v>
      </c>
      <c r="M39" s="48">
        <f t="shared" si="11"/>
        <v>594.7291543425024</v>
      </c>
      <c r="N39" s="48">
        <f t="shared" si="11"/>
        <v>607.43294605943925</v>
      </c>
      <c r="O39" s="48">
        <f t="shared" si="11"/>
        <v>623.76660353739351</v>
      </c>
      <c r="P39" s="48">
        <f t="shared" si="11"/>
        <v>631.08273394065168</v>
      </c>
      <c r="Q39" s="48">
        <f t="shared" si="11"/>
        <v>592.94082184301431</v>
      </c>
      <c r="R39" s="48">
        <f t="shared" si="11"/>
        <v>574.77711536878542</v>
      </c>
      <c r="S39" s="48">
        <f t="shared" si="11"/>
        <v>567.20926351070273</v>
      </c>
      <c r="T39" s="48">
        <f t="shared" ref="T39:U42" si="12">(T25*T32)/1000000</f>
        <v>584.77799764308759</v>
      </c>
      <c r="U39" s="48">
        <f t="shared" si="12"/>
        <v>606.36209833275939</v>
      </c>
      <c r="V39" s="48">
        <f t="shared" ref="V39:W42" si="13">(V25*V32)/1000000</f>
        <v>645.45536066458203</v>
      </c>
      <c r="W39" s="244">
        <f t="shared" si="13"/>
        <v>551.66928563028159</v>
      </c>
      <c r="X39" s="17"/>
      <c r="Y39" s="1"/>
    </row>
    <row r="40" spans="1:30" ht="18" customHeight="1">
      <c r="A40" s="23" t="s">
        <v>6</v>
      </c>
      <c r="B40" s="48">
        <f t="shared" ref="B40:G40" si="14">(B26*B33)/1000000</f>
        <v>268.07838423396026</v>
      </c>
      <c r="C40" s="48">
        <f t="shared" si="14"/>
        <v>309.96612069461889</v>
      </c>
      <c r="D40" s="48">
        <f t="shared" si="14"/>
        <v>350.48793303864539</v>
      </c>
      <c r="E40" s="48">
        <f t="shared" si="14"/>
        <v>408.28147314108213</v>
      </c>
      <c r="F40" s="48">
        <f t="shared" si="14"/>
        <v>403.74968048841163</v>
      </c>
      <c r="G40" s="48">
        <f t="shared" si="14"/>
        <v>403.09830000008134</v>
      </c>
      <c r="H40" s="48">
        <f t="shared" ref="H40:S42" si="15">(H26*H33)/1000000</f>
        <v>414.23799522208191</v>
      </c>
      <c r="I40" s="48">
        <f t="shared" si="15"/>
        <v>371.45711832412536</v>
      </c>
      <c r="J40" s="48">
        <f t="shared" si="15"/>
        <v>499.54433563795112</v>
      </c>
      <c r="K40" s="48">
        <f t="shared" si="15"/>
        <v>472.43842849144835</v>
      </c>
      <c r="L40" s="48">
        <f t="shared" si="15"/>
        <v>402.50354924873051</v>
      </c>
      <c r="M40" s="48">
        <f t="shared" si="15"/>
        <v>383.54442796729984</v>
      </c>
      <c r="N40" s="48">
        <f t="shared" si="15"/>
        <v>380.22499405503828</v>
      </c>
      <c r="O40" s="48">
        <f t="shared" si="15"/>
        <v>381.30098654504877</v>
      </c>
      <c r="P40" s="48">
        <f t="shared" si="15"/>
        <v>401.82511800719942</v>
      </c>
      <c r="Q40" s="48">
        <f t="shared" si="15"/>
        <v>346.1932977234722</v>
      </c>
      <c r="R40" s="48">
        <f t="shared" si="15"/>
        <v>328.66491739806099</v>
      </c>
      <c r="S40" s="48">
        <f t="shared" si="15"/>
        <v>306.00956352517954</v>
      </c>
      <c r="T40" s="48">
        <f t="shared" si="12"/>
        <v>322.04307535511998</v>
      </c>
      <c r="U40" s="48">
        <f t="shared" si="12"/>
        <v>296.2346615087007</v>
      </c>
      <c r="V40" s="48">
        <f t="shared" si="13"/>
        <v>313.31873140420072</v>
      </c>
      <c r="W40" s="244">
        <f t="shared" si="13"/>
        <v>327.49745751459557</v>
      </c>
      <c r="X40" s="17"/>
      <c r="Y40" s="1"/>
    </row>
    <row r="41" spans="1:30" ht="18" customHeight="1">
      <c r="A41" s="23" t="s">
        <v>12</v>
      </c>
      <c r="B41" s="48">
        <f t="shared" ref="B41:G41" si="16">(B27*B34)/1000000</f>
        <v>177.90559813739571</v>
      </c>
      <c r="C41" s="48">
        <f t="shared" si="16"/>
        <v>173.72996467652618</v>
      </c>
      <c r="D41" s="48">
        <f t="shared" si="16"/>
        <v>159.17337120603889</v>
      </c>
      <c r="E41" s="48">
        <f t="shared" si="16"/>
        <v>157.80781925705548</v>
      </c>
      <c r="F41" s="48">
        <f t="shared" si="16"/>
        <v>149.65317462736104</v>
      </c>
      <c r="G41" s="48">
        <f t="shared" si="16"/>
        <v>157.47209718163185</v>
      </c>
      <c r="H41" s="48">
        <f t="shared" si="15"/>
        <v>167.10224502387806</v>
      </c>
      <c r="I41" s="48">
        <f t="shared" si="15"/>
        <v>111.91010684371449</v>
      </c>
      <c r="J41" s="48">
        <f t="shared" si="15"/>
        <v>129.83256201326492</v>
      </c>
      <c r="K41" s="48">
        <f t="shared" si="15"/>
        <v>176.23047566742241</v>
      </c>
      <c r="L41" s="48">
        <f t="shared" si="15"/>
        <v>220.23723990541563</v>
      </c>
      <c r="M41" s="48">
        <f t="shared" si="15"/>
        <v>223.47733907205844</v>
      </c>
      <c r="N41" s="48">
        <f t="shared" si="15"/>
        <v>247.08051743551522</v>
      </c>
      <c r="O41" s="48">
        <f t="shared" si="15"/>
        <v>196.98972015188451</v>
      </c>
      <c r="P41" s="48">
        <f t="shared" si="15"/>
        <v>185.32400358957386</v>
      </c>
      <c r="Q41" s="48">
        <f t="shared" si="15"/>
        <v>160.93991215392268</v>
      </c>
      <c r="R41" s="48">
        <f t="shared" si="15"/>
        <v>134.72734647832186</v>
      </c>
      <c r="S41" s="48">
        <f t="shared" si="15"/>
        <v>147.57265944742895</v>
      </c>
      <c r="T41" s="48">
        <f t="shared" si="12"/>
        <v>134.51849102346983</v>
      </c>
      <c r="U41" s="48">
        <f t="shared" si="12"/>
        <v>123.0418669958413</v>
      </c>
      <c r="V41" s="48">
        <f t="shared" si="13"/>
        <v>140.23205067459975</v>
      </c>
      <c r="W41" s="244">
        <f t="shared" si="13"/>
        <v>182.17974947026008</v>
      </c>
      <c r="X41" s="17"/>
      <c r="Y41" s="1"/>
    </row>
    <row r="42" spans="1:30" ht="18" customHeight="1">
      <c r="A42" s="23" t="s">
        <v>13</v>
      </c>
      <c r="B42" s="48">
        <f t="shared" ref="B42:G42" si="17">(B28*B35)/1000000</f>
        <v>0</v>
      </c>
      <c r="C42" s="48">
        <f t="shared" si="17"/>
        <v>9.8305240347589162</v>
      </c>
      <c r="D42" s="48">
        <f t="shared" si="17"/>
        <v>9.8113826445459527</v>
      </c>
      <c r="E42" s="48">
        <f t="shared" si="17"/>
        <v>12.149075465635047</v>
      </c>
      <c r="F42" s="48">
        <f t="shared" si="17"/>
        <v>7.9381461933768458</v>
      </c>
      <c r="G42" s="48">
        <f t="shared" si="17"/>
        <v>5.2373466165567972</v>
      </c>
      <c r="H42" s="48">
        <f t="shared" si="15"/>
        <v>4.2919015546879296</v>
      </c>
      <c r="I42" s="48">
        <f t="shared" si="15"/>
        <v>6.9579100434199201</v>
      </c>
      <c r="J42" s="48">
        <f t="shared" si="15"/>
        <v>16.213456121174996</v>
      </c>
      <c r="K42" s="48">
        <f t="shared" si="15"/>
        <v>23.782192114079013</v>
      </c>
      <c r="L42" s="48">
        <f t="shared" si="15"/>
        <v>22.16041854362016</v>
      </c>
      <c r="M42" s="48">
        <f t="shared" si="15"/>
        <v>22.583260073754239</v>
      </c>
      <c r="N42" s="48">
        <f t="shared" si="15"/>
        <v>9.8904173958444748</v>
      </c>
      <c r="O42" s="48">
        <f t="shared" si="15"/>
        <v>7.388673591290762</v>
      </c>
      <c r="P42" s="48">
        <f t="shared" si="15"/>
        <v>14.233793507393665</v>
      </c>
      <c r="Q42" s="48">
        <f t="shared" si="15"/>
        <v>12.063652798207347</v>
      </c>
      <c r="R42" s="48">
        <f t="shared" si="15"/>
        <v>6.6594070260581439</v>
      </c>
      <c r="S42" s="48">
        <f t="shared" si="15"/>
        <v>2.0517590229116651</v>
      </c>
      <c r="T42" s="48">
        <f t="shared" si="12"/>
        <v>2.8341286867713356</v>
      </c>
      <c r="U42" s="48">
        <f t="shared" si="12"/>
        <v>5.0042405889713439</v>
      </c>
      <c r="V42" s="48">
        <f t="shared" si="13"/>
        <v>6.5984690422503691</v>
      </c>
      <c r="W42" s="244">
        <f t="shared" si="13"/>
        <v>6.790328556439154</v>
      </c>
      <c r="X42" s="17"/>
      <c r="Y42" s="1"/>
    </row>
    <row r="43" spans="1:30" ht="18" customHeight="1">
      <c r="A43" s="90" t="s">
        <v>9</v>
      </c>
      <c r="B43" s="105">
        <f t="shared" ref="B43:H43" si="18">SUM(B39:B42)</f>
        <v>964.63602144564072</v>
      </c>
      <c r="C43" s="105">
        <f t="shared" si="18"/>
        <v>1032.0513173724337</v>
      </c>
      <c r="D43" s="105">
        <f t="shared" si="18"/>
        <v>1085.7145162211707</v>
      </c>
      <c r="E43" s="105">
        <f t="shared" si="18"/>
        <v>1200.8690408280506</v>
      </c>
      <c r="F43" s="105">
        <f t="shared" si="18"/>
        <v>1206.0115579647572</v>
      </c>
      <c r="G43" s="105">
        <f t="shared" si="18"/>
        <v>1202.0932588824032</v>
      </c>
      <c r="H43" s="106">
        <f t="shared" si="18"/>
        <v>1251.0098804188974</v>
      </c>
      <c r="I43" s="106">
        <f t="shared" ref="I43:S43" si="19">SUM(I39:I42)</f>
        <v>1131.6132111965244</v>
      </c>
      <c r="J43" s="106">
        <f t="shared" si="19"/>
        <v>1412.8617124850614</v>
      </c>
      <c r="K43" s="106">
        <f t="shared" si="19"/>
        <v>1403.3165503094938</v>
      </c>
      <c r="L43" s="106">
        <f t="shared" si="19"/>
        <v>1270.019925310897</v>
      </c>
      <c r="M43" s="106">
        <f t="shared" si="19"/>
        <v>1224.334181455615</v>
      </c>
      <c r="N43" s="106">
        <f t="shared" si="19"/>
        <v>1244.6288749458372</v>
      </c>
      <c r="O43" s="106">
        <f t="shared" si="19"/>
        <v>1209.4459838256178</v>
      </c>
      <c r="P43" s="106">
        <f t="shared" si="19"/>
        <v>1232.4656490448185</v>
      </c>
      <c r="Q43" s="106">
        <f t="shared" si="19"/>
        <v>1112.1376845186167</v>
      </c>
      <c r="R43" s="106">
        <f t="shared" si="19"/>
        <v>1044.8287862712264</v>
      </c>
      <c r="S43" s="106">
        <f t="shared" si="19"/>
        <v>1022.8432455062228</v>
      </c>
      <c r="T43" s="106">
        <f>SUM(T39:T42)</f>
        <v>1044.1736927084487</v>
      </c>
      <c r="U43" s="106">
        <f>SUM(U39:U42)</f>
        <v>1030.6428674262727</v>
      </c>
      <c r="V43" s="106">
        <f>SUM(V39:V42)</f>
        <v>1105.6046117856329</v>
      </c>
      <c r="W43" s="245">
        <f>SUM(W39:W42)</f>
        <v>1068.1368211715765</v>
      </c>
      <c r="X43" s="42"/>
      <c r="Y43" s="1"/>
    </row>
    <row r="44" spans="1:30" ht="18" customHeight="1">
      <c r="B44" s="1"/>
      <c r="C44" s="1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238"/>
      <c r="X44" s="1"/>
      <c r="Y44" s="1"/>
    </row>
    <row r="45" spans="1:30" ht="30" customHeight="1">
      <c r="A45" s="100" t="s">
        <v>99</v>
      </c>
      <c r="G45" s="1"/>
      <c r="H45" s="1"/>
      <c r="I45" s="1"/>
      <c r="J45" s="1"/>
      <c r="K45" s="1"/>
      <c r="L45" s="1"/>
      <c r="M45" s="1"/>
      <c r="O45" s="14"/>
      <c r="W45" s="238"/>
      <c r="Z45" s="3"/>
    </row>
    <row r="46" spans="1:30" ht="18" customHeight="1">
      <c r="A46" s="23" t="s">
        <v>47</v>
      </c>
      <c r="B46" s="35">
        <v>471754</v>
      </c>
      <c r="C46" s="35">
        <v>393166</v>
      </c>
      <c r="D46" s="28">
        <v>466888.69295670476</v>
      </c>
      <c r="E46" s="28">
        <v>339448.66511869873</v>
      </c>
      <c r="F46" s="241">
        <v>358961</v>
      </c>
      <c r="G46" s="241">
        <v>424335</v>
      </c>
      <c r="H46" s="241">
        <v>346237</v>
      </c>
      <c r="I46" s="241">
        <v>106506</v>
      </c>
      <c r="J46" s="241">
        <v>0</v>
      </c>
      <c r="K46" s="241">
        <v>208041</v>
      </c>
      <c r="L46" s="241">
        <v>388832</v>
      </c>
      <c r="M46" s="241">
        <v>475661</v>
      </c>
      <c r="N46" s="243">
        <v>358675</v>
      </c>
      <c r="O46" s="243">
        <v>277738</v>
      </c>
      <c r="P46" s="243">
        <v>368012</v>
      </c>
      <c r="Q46" s="243">
        <v>256493</v>
      </c>
      <c r="R46" s="243">
        <v>247996</v>
      </c>
      <c r="S46" s="243">
        <v>213921</v>
      </c>
      <c r="T46" s="243">
        <v>231310</v>
      </c>
      <c r="U46" s="243">
        <v>137502</v>
      </c>
      <c r="V46" s="61">
        <v>177800</v>
      </c>
      <c r="W46" s="228">
        <v>191000</v>
      </c>
      <c r="X46" s="14"/>
      <c r="Y46" s="3"/>
      <c r="Z46" s="3"/>
    </row>
    <row r="47" spans="1:30" ht="18" customHeight="1">
      <c r="A47" s="23" t="s">
        <v>50</v>
      </c>
      <c r="B47" s="36">
        <f>(B32*B46)/1000000</f>
        <v>161.77357525174634</v>
      </c>
      <c r="C47" s="36">
        <f>(C32*C46)/1000000</f>
        <v>136.42927968792526</v>
      </c>
      <c r="D47" s="28">
        <v>312711.30704329524</v>
      </c>
      <c r="E47" s="28">
        <v>239433.33488130127</v>
      </c>
      <c r="F47" s="241">
        <v>195182</v>
      </c>
      <c r="G47" s="241">
        <v>285805</v>
      </c>
      <c r="H47" s="241">
        <v>248399</v>
      </c>
      <c r="I47" s="241">
        <v>94371</v>
      </c>
      <c r="J47" s="241">
        <v>0</v>
      </c>
      <c r="K47" s="241">
        <v>107883</v>
      </c>
      <c r="L47" s="241">
        <v>314055</v>
      </c>
      <c r="M47" s="241">
        <v>362834</v>
      </c>
      <c r="N47" s="243">
        <v>302353</v>
      </c>
      <c r="O47" s="243">
        <v>245756</v>
      </c>
      <c r="P47" s="243">
        <v>252606</v>
      </c>
      <c r="Q47" s="243">
        <v>180337</v>
      </c>
      <c r="R47" s="243">
        <v>183819</v>
      </c>
      <c r="S47" s="243">
        <v>136846</v>
      </c>
      <c r="T47" s="243">
        <v>172006</v>
      </c>
      <c r="U47" s="243">
        <v>95287</v>
      </c>
      <c r="V47" s="61">
        <v>152668</v>
      </c>
      <c r="W47" s="228">
        <v>125000</v>
      </c>
      <c r="X47" s="14"/>
      <c r="Y47" s="1"/>
    </row>
    <row r="48" spans="1:30" ht="18" customHeight="1">
      <c r="A48" s="15" t="s">
        <v>152</v>
      </c>
      <c r="B48" s="1"/>
      <c r="C48" s="1"/>
      <c r="D48" s="64"/>
      <c r="E48" s="64"/>
      <c r="F48" s="242"/>
      <c r="G48" s="242"/>
      <c r="H48" s="242"/>
      <c r="I48" s="242"/>
      <c r="J48" s="242"/>
      <c r="K48" s="242"/>
      <c r="L48" s="242"/>
      <c r="M48" s="242"/>
      <c r="N48" s="242"/>
      <c r="O48" s="242"/>
      <c r="P48" s="242"/>
      <c r="Q48" s="242"/>
      <c r="R48" s="242"/>
      <c r="S48" s="242"/>
      <c r="T48" s="242"/>
      <c r="U48" s="242"/>
      <c r="W48" s="65"/>
      <c r="X48" s="14"/>
      <c r="Y48" s="96"/>
      <c r="Z48" s="16"/>
    </row>
    <row r="49" spans="1:26" ht="18" customHeight="1">
      <c r="A49" s="23" t="s">
        <v>80</v>
      </c>
      <c r="D49" s="28">
        <f>D48-D50</f>
        <v>-30164.964171986609</v>
      </c>
      <c r="E49" s="28">
        <f>E48-E50</f>
        <v>-23841.02682152369</v>
      </c>
      <c r="F49" s="241">
        <v>171448</v>
      </c>
      <c r="G49" s="241">
        <v>257584</v>
      </c>
      <c r="H49" s="241">
        <v>372294</v>
      </c>
      <c r="I49" s="241">
        <v>136161</v>
      </c>
      <c r="J49" s="241">
        <v>0</v>
      </c>
      <c r="K49" s="241">
        <v>2799</v>
      </c>
      <c r="L49" s="241">
        <v>0</v>
      </c>
      <c r="M49" s="241">
        <v>8469</v>
      </c>
      <c r="N49" s="243">
        <v>186657</v>
      </c>
      <c r="O49" s="243">
        <v>199433</v>
      </c>
      <c r="P49" s="243">
        <v>182815</v>
      </c>
      <c r="Q49" s="243">
        <v>112425</v>
      </c>
      <c r="R49" s="243">
        <v>179824</v>
      </c>
      <c r="S49" s="243">
        <v>277992</v>
      </c>
      <c r="T49" s="243">
        <v>276560</v>
      </c>
      <c r="U49" s="243">
        <v>204938</v>
      </c>
      <c r="V49" s="61">
        <v>187248</v>
      </c>
      <c r="W49" s="228">
        <v>135000</v>
      </c>
      <c r="X49" s="14"/>
      <c r="Y49" s="96"/>
    </row>
    <row r="50" spans="1:26" ht="18" customHeight="1">
      <c r="A50" s="23" t="s">
        <v>81</v>
      </c>
      <c r="D50" s="28">
        <f>(((D27+D28+D48))*0.095)-D28</f>
        <v>30164.964171986609</v>
      </c>
      <c r="E50" s="28">
        <f>(((E27+E28+E48))*0.095)-E28</f>
        <v>23841.02682152369</v>
      </c>
      <c r="F50" s="243">
        <v>44286</v>
      </c>
      <c r="G50" s="243">
        <v>53575</v>
      </c>
      <c r="H50" s="243">
        <v>57448</v>
      </c>
      <c r="I50" s="243">
        <v>17006</v>
      </c>
      <c r="J50" s="243">
        <v>0</v>
      </c>
      <c r="K50" s="243">
        <v>476</v>
      </c>
      <c r="L50" s="243">
        <v>904</v>
      </c>
      <c r="M50" s="243">
        <v>2351</v>
      </c>
      <c r="N50" s="243">
        <v>47958</v>
      </c>
      <c r="O50" s="243">
        <v>40238</v>
      </c>
      <c r="P50" s="243">
        <v>28179</v>
      </c>
      <c r="Q50" s="243">
        <v>24274</v>
      </c>
      <c r="R50" s="243">
        <v>27462</v>
      </c>
      <c r="S50" s="243">
        <v>42444</v>
      </c>
      <c r="T50" s="243">
        <v>44638</v>
      </c>
      <c r="U50" s="243">
        <v>33132</v>
      </c>
      <c r="V50" s="61">
        <v>28636</v>
      </c>
      <c r="W50" s="228">
        <v>60500</v>
      </c>
      <c r="X50" s="14"/>
      <c r="Y50" s="96"/>
    </row>
    <row r="51" spans="1:26" ht="18" customHeight="1">
      <c r="A51" s="23"/>
      <c r="D51" s="28"/>
      <c r="E51" s="28">
        <f>E46+E47</f>
        <v>578882</v>
      </c>
      <c r="F51" s="28">
        <f>F46+F47</f>
        <v>554143</v>
      </c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34"/>
      <c r="U51" s="34"/>
      <c r="V51" s="60">
        <f>SUM(V46:V50)</f>
        <v>546352</v>
      </c>
      <c r="W51" s="221"/>
    </row>
    <row r="52" spans="1:26" ht="18" customHeight="1">
      <c r="A52" s="101" t="s">
        <v>100</v>
      </c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  <c r="Q52" s="96"/>
      <c r="R52" s="96"/>
      <c r="S52" s="96"/>
      <c r="T52" s="96"/>
      <c r="U52" s="96"/>
      <c r="V52" s="96"/>
      <c r="W52" s="238"/>
    </row>
    <row r="53" spans="1:26" ht="18" customHeight="1">
      <c r="A53" s="23" t="s">
        <v>11</v>
      </c>
      <c r="D53" s="52">
        <f>D46*D32/1000000</f>
        <v>167.51744358557264</v>
      </c>
      <c r="E53" s="52">
        <f t="shared" ref="E53:U54" si="20">(E46*E32)/1000000</f>
        <v>122.56243193072855</v>
      </c>
      <c r="F53" s="52">
        <f t="shared" si="20"/>
        <v>132.37562052072937</v>
      </c>
      <c r="G53" s="52">
        <f t="shared" si="20"/>
        <v>158.02369364056972</v>
      </c>
      <c r="H53" s="52">
        <f t="shared" si="20"/>
        <v>130.66732468475004</v>
      </c>
      <c r="I53" s="52">
        <f t="shared" si="20"/>
        <v>40.339521908736273</v>
      </c>
      <c r="J53" s="52">
        <f t="shared" si="20"/>
        <v>0</v>
      </c>
      <c r="K53" s="52">
        <f t="shared" si="20"/>
        <v>78.041325864102319</v>
      </c>
      <c r="L53" s="52">
        <f t="shared" si="20"/>
        <v>148.32972512020319</v>
      </c>
      <c r="M53" s="52">
        <f t="shared" si="20"/>
        <v>181.22684100000001</v>
      </c>
      <c r="N53" s="52">
        <f t="shared" si="20"/>
        <v>136.98827451691918</v>
      </c>
      <c r="O53" s="52">
        <f t="shared" si="20"/>
        <v>106.58003628776196</v>
      </c>
      <c r="P53" s="52">
        <f t="shared" si="20"/>
        <v>141.72284677492513</v>
      </c>
      <c r="Q53" s="52">
        <f t="shared" si="20"/>
        <v>99.590859112764221</v>
      </c>
      <c r="R53" s="52">
        <f t="shared" si="20"/>
        <v>98.766437448970336</v>
      </c>
      <c r="S53" s="52">
        <f t="shared" si="20"/>
        <v>84.807653996189785</v>
      </c>
      <c r="T53" s="52">
        <f t="shared" si="20"/>
        <v>90.305958904109588</v>
      </c>
      <c r="U53" s="52">
        <f t="shared" si="20"/>
        <v>55.754235616438358</v>
      </c>
      <c r="V53" s="52">
        <f>(V46*V32)/1000000</f>
        <v>74.116937312891224</v>
      </c>
      <c r="W53" s="224">
        <f>(W46*W32)/1000000</f>
        <v>79.265000000000001</v>
      </c>
    </row>
    <row r="54" spans="1:26" ht="18" customHeight="1">
      <c r="A54" s="23" t="s">
        <v>6</v>
      </c>
      <c r="D54" s="52">
        <f>D47*D33/1000000</f>
        <v>103.68863533005931</v>
      </c>
      <c r="E54" s="52">
        <f t="shared" ref="E54:S54" si="21">(E47*E33)/1000000</f>
        <v>80.368623701425633</v>
      </c>
      <c r="F54" s="52">
        <f t="shared" si="21"/>
        <v>67.462888505851396</v>
      </c>
      <c r="G54" s="52">
        <f t="shared" si="21"/>
        <v>99.823029120928965</v>
      </c>
      <c r="H54" s="52">
        <f t="shared" si="21"/>
        <v>87.546957724757334</v>
      </c>
      <c r="I54" s="52">
        <f t="shared" si="21"/>
        <v>33.43180214097795</v>
      </c>
      <c r="J54" s="52">
        <f t="shared" si="21"/>
        <v>0</v>
      </c>
      <c r="K54" s="52">
        <f t="shared" si="21"/>
        <v>37.778134809035649</v>
      </c>
      <c r="L54" s="52">
        <f t="shared" si="21"/>
        <v>110.97198811575794</v>
      </c>
      <c r="M54" s="52">
        <f t="shared" si="21"/>
        <v>128.86647101515013</v>
      </c>
      <c r="N54" s="52">
        <f t="shared" si="21"/>
        <v>108.242374</v>
      </c>
      <c r="O54" s="52">
        <f t="shared" si="21"/>
        <v>87.730187789168085</v>
      </c>
      <c r="P54" s="52">
        <f t="shared" si="21"/>
        <v>90.060925337929788</v>
      </c>
      <c r="Q54" s="52">
        <f t="shared" si="21"/>
        <v>64.131456046448321</v>
      </c>
      <c r="R54" s="52">
        <f t="shared" si="21"/>
        <v>68.288016420212273</v>
      </c>
      <c r="S54" s="52">
        <f t="shared" si="21"/>
        <v>50.403225982037561</v>
      </c>
      <c r="T54" s="53">
        <f>(T47*T33)/1000000</f>
        <v>61.969284931506849</v>
      </c>
      <c r="U54" s="52">
        <f t="shared" si="20"/>
        <v>35.634727397260271</v>
      </c>
      <c r="V54" s="52">
        <f>(V47*V33)/1000000</f>
        <v>58.239040188696364</v>
      </c>
      <c r="W54" s="224">
        <f>(W47*W33)/1000000</f>
        <v>47</v>
      </c>
    </row>
    <row r="55" spans="1:26" ht="18" customHeight="1">
      <c r="A55" s="23" t="s">
        <v>12</v>
      </c>
      <c r="D55" s="52">
        <f>D49*D34/1000000</f>
        <v>-8.7159040994082684</v>
      </c>
      <c r="E55" s="52">
        <f>E49*E34/1000000</f>
        <v>-7.0724991115288454</v>
      </c>
      <c r="F55" s="52">
        <f t="shared" ref="F55:T55" si="22">F50*F34/1000000</f>
        <v>13.740190510750249</v>
      </c>
      <c r="G55" s="52">
        <f t="shared" si="22"/>
        <v>16.865213644198491</v>
      </c>
      <c r="H55" s="52">
        <f t="shared" si="22"/>
        <v>18.345002267985119</v>
      </c>
      <c r="I55" s="52">
        <f t="shared" si="22"/>
        <v>5.4151374398983938</v>
      </c>
      <c r="J55" s="52">
        <f t="shared" si="22"/>
        <v>0</v>
      </c>
      <c r="K55" s="52">
        <f t="shared" si="22"/>
        <v>0.14314977773745804</v>
      </c>
      <c r="L55" s="52">
        <f t="shared" si="22"/>
        <v>0.27514469745078474</v>
      </c>
      <c r="M55" s="52">
        <f t="shared" si="22"/>
        <v>0.71769164474281044</v>
      </c>
      <c r="N55" s="52">
        <f t="shared" si="22"/>
        <v>14.771064000000001</v>
      </c>
      <c r="O55" s="52">
        <f t="shared" si="22"/>
        <v>12.301738183797514</v>
      </c>
      <c r="P55" s="52">
        <f t="shared" si="22"/>
        <v>8.5894438900480807</v>
      </c>
      <c r="Q55" s="52">
        <f t="shared" si="22"/>
        <v>7.3661008799782266</v>
      </c>
      <c r="R55" s="52">
        <f t="shared" si="22"/>
        <v>8.4207166832985578</v>
      </c>
      <c r="S55" s="52">
        <f t="shared" si="22"/>
        <v>12.899156309534609</v>
      </c>
      <c r="T55" s="53">
        <f t="shared" si="22"/>
        <v>13.819435616438357</v>
      </c>
      <c r="U55" s="53">
        <f>U49*U34/1000000</f>
        <v>67.37687671232878</v>
      </c>
      <c r="V55" s="53">
        <f>V49*V34/1000000</f>
        <v>63.446546312256189</v>
      </c>
      <c r="W55" s="229">
        <f>W49*W34/1000000</f>
        <v>45.225000000000001</v>
      </c>
    </row>
    <row r="56" spans="1:26" ht="18" customHeight="1">
      <c r="A56" s="23" t="s">
        <v>13</v>
      </c>
      <c r="D56" s="52">
        <f>D50*D35/1000000</f>
        <v>12.081857644862639</v>
      </c>
      <c r="E56" s="52">
        <f t="shared" ref="E56:U56" si="23">E50*E35/1000000</f>
        <v>9.81931069307063</v>
      </c>
      <c r="F56" s="53">
        <f t="shared" si="23"/>
        <v>18.501045994738273</v>
      </c>
      <c r="G56" s="53">
        <f t="shared" si="23"/>
        <v>22.16293205116574</v>
      </c>
      <c r="H56" s="53">
        <f t="shared" si="23"/>
        <v>23.791174816293207</v>
      </c>
      <c r="I56" s="53">
        <f t="shared" si="23"/>
        <v>7.6058768030481714</v>
      </c>
      <c r="J56" s="53">
        <f t="shared" si="23"/>
        <v>0</v>
      </c>
      <c r="K56" s="53">
        <f t="shared" si="23"/>
        <v>0.22411684659348635</v>
      </c>
      <c r="L56" s="53">
        <f t="shared" si="23"/>
        <v>0.42153315794248392</v>
      </c>
      <c r="M56" s="53">
        <f t="shared" si="23"/>
        <v>1.0888011430645015</v>
      </c>
      <c r="N56" s="53">
        <f t="shared" si="23"/>
        <v>21.772932000000001</v>
      </c>
      <c r="O56" s="53">
        <f t="shared" si="23"/>
        <v>17.394000725755237</v>
      </c>
      <c r="P56" s="53">
        <f t="shared" si="23"/>
        <v>12.909729656173454</v>
      </c>
      <c r="Q56" s="53">
        <f t="shared" si="23"/>
        <v>10.966571713689556</v>
      </c>
      <c r="R56" s="53">
        <f t="shared" si="23"/>
        <v>12.419311439716955</v>
      </c>
      <c r="S56" s="53">
        <f t="shared" si="23"/>
        <v>16.730398258187428</v>
      </c>
      <c r="T56" s="53">
        <f t="shared" si="23"/>
        <v>18.772419178082192</v>
      </c>
      <c r="U56" s="53">
        <f t="shared" si="23"/>
        <v>15.068252054794522</v>
      </c>
      <c r="V56" s="53">
        <f>V50*V35/1000000</f>
        <v>13.197031661072302</v>
      </c>
      <c r="W56" s="229">
        <f>W50*W35/1000000</f>
        <v>28.797999999999998</v>
      </c>
    </row>
    <row r="57" spans="1:26" ht="18" customHeight="1">
      <c r="A57" s="90" t="s">
        <v>102</v>
      </c>
      <c r="B57" s="90"/>
      <c r="C57" s="23"/>
      <c r="D57" s="98">
        <f>SUM(D53:D56)</f>
        <v>274.57203246108634</v>
      </c>
      <c r="E57" s="98">
        <f t="shared" ref="E57:S57" si="24">SUM(E53:E56)</f>
        <v>205.67786721369598</v>
      </c>
      <c r="F57" s="98">
        <f t="shared" si="24"/>
        <v>232.07974553206927</v>
      </c>
      <c r="G57" s="98">
        <f t="shared" si="24"/>
        <v>296.87486845686288</v>
      </c>
      <c r="H57" s="98">
        <f t="shared" si="24"/>
        <v>260.35045949378571</v>
      </c>
      <c r="I57" s="98">
        <f t="shared" si="24"/>
        <v>86.792338292660787</v>
      </c>
      <c r="J57" s="98">
        <f t="shared" si="24"/>
        <v>0</v>
      </c>
      <c r="K57" s="98">
        <f t="shared" si="24"/>
        <v>116.18672729746892</v>
      </c>
      <c r="L57" s="98">
        <f t="shared" si="24"/>
        <v>259.99839109135439</v>
      </c>
      <c r="M57" s="98">
        <f t="shared" si="24"/>
        <v>311.89980480295742</v>
      </c>
      <c r="N57" s="98">
        <f t="shared" si="24"/>
        <v>281.77464451691924</v>
      </c>
      <c r="O57" s="98">
        <f t="shared" si="24"/>
        <v>224.00596298648279</v>
      </c>
      <c r="P57" s="98">
        <f t="shared" si="24"/>
        <v>253.28294565907646</v>
      </c>
      <c r="Q57" s="98">
        <f t="shared" si="24"/>
        <v>182.05498775288032</v>
      </c>
      <c r="R57" s="98">
        <f t="shared" si="24"/>
        <v>187.89448199219814</v>
      </c>
      <c r="S57" s="98">
        <f t="shared" si="24"/>
        <v>164.84043454594939</v>
      </c>
      <c r="T57" s="98">
        <f>SUM(T53:T56)</f>
        <v>184.86709863013701</v>
      </c>
      <c r="U57" s="98">
        <f>SUM(U53:U56)</f>
        <v>173.83409178082195</v>
      </c>
      <c r="V57" s="98">
        <f>SUM(V53:V56)</f>
        <v>208.99955547491606</v>
      </c>
      <c r="W57" s="225">
        <f>SUM(W53:W56)</f>
        <v>200.28800000000001</v>
      </c>
      <c r="X57" s="64"/>
    </row>
    <row r="58" spans="1:26" ht="18" customHeight="1">
      <c r="A58" s="90" t="s">
        <v>113</v>
      </c>
      <c r="B58" s="90"/>
      <c r="C58" s="90"/>
      <c r="D58" s="98">
        <f>D57*0.73</f>
        <v>200.43758369659301</v>
      </c>
      <c r="E58" s="98">
        <f>E57*0.73</f>
        <v>150.14484306599806</v>
      </c>
      <c r="F58" s="98">
        <f>F57*0.73</f>
        <v>169.41821423841057</v>
      </c>
      <c r="G58" s="98">
        <f>G57*0.73</f>
        <v>216.7186539735099</v>
      </c>
      <c r="H58" s="98">
        <f>H57*0.73</f>
        <v>190.05583543046356</v>
      </c>
      <c r="I58" s="98">
        <f t="shared" ref="I58:Q58" si="25">I57*0.73</f>
        <v>63.358406953642373</v>
      </c>
      <c r="J58" s="98">
        <f t="shared" si="25"/>
        <v>0</v>
      </c>
      <c r="K58" s="98">
        <f t="shared" si="25"/>
        <v>84.816310927152315</v>
      </c>
      <c r="L58" s="98">
        <f t="shared" si="25"/>
        <v>189.79882549668869</v>
      </c>
      <c r="M58" s="98">
        <f t="shared" si="25"/>
        <v>227.6868575061589</v>
      </c>
      <c r="N58" s="98">
        <f t="shared" si="25"/>
        <v>205.69549049735105</v>
      </c>
      <c r="O58" s="98">
        <f t="shared" si="25"/>
        <v>163.52435298013242</v>
      </c>
      <c r="P58" s="98">
        <f t="shared" si="25"/>
        <v>184.89655033112581</v>
      </c>
      <c r="Q58" s="98">
        <f t="shared" si="25"/>
        <v>132.90014105960265</v>
      </c>
      <c r="R58" s="98">
        <f t="shared" ref="R58:W58" si="26">R57*0.73</f>
        <v>137.16297185430463</v>
      </c>
      <c r="S58" s="98">
        <f t="shared" si="26"/>
        <v>120.33351721854305</v>
      </c>
      <c r="T58" s="98">
        <f t="shared" si="26"/>
        <v>134.95298200000002</v>
      </c>
      <c r="U58" s="107">
        <f t="shared" si="26"/>
        <v>126.89888700000002</v>
      </c>
      <c r="V58" s="98">
        <f t="shared" si="26"/>
        <v>152.56967549668872</v>
      </c>
      <c r="W58" s="225">
        <f t="shared" si="26"/>
        <v>146.21024</v>
      </c>
    </row>
    <row r="59" spans="1:26" ht="42" customHeight="1">
      <c r="A59" s="108" t="s">
        <v>104</v>
      </c>
      <c r="D59" s="64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238"/>
    </row>
    <row r="60" spans="1:26" ht="18" customHeight="1">
      <c r="A60" s="109" t="s">
        <v>15</v>
      </c>
      <c r="B60" s="64"/>
      <c r="C60" s="64"/>
      <c r="D60" s="64"/>
      <c r="E60" s="64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30"/>
      <c r="R60" s="28">
        <f>25087+63532</f>
        <v>88619</v>
      </c>
      <c r="S60" s="28"/>
      <c r="T60" s="28"/>
      <c r="U60" s="28"/>
      <c r="V60" s="28"/>
      <c r="W60" s="221"/>
      <c r="X60" s="14"/>
    </row>
    <row r="61" spans="1:26" ht="18" customHeight="1">
      <c r="A61" s="109" t="s">
        <v>11</v>
      </c>
      <c r="B61" s="64"/>
      <c r="C61" s="64"/>
      <c r="D61" s="73"/>
      <c r="E61" s="73"/>
      <c r="F61" s="74">
        <f>25459+54300</f>
        <v>79759</v>
      </c>
      <c r="G61" s="74">
        <v>103257</v>
      </c>
      <c r="H61" s="74">
        <v>257757</v>
      </c>
      <c r="I61" s="74">
        <v>57860</v>
      </c>
      <c r="J61" s="74">
        <v>0</v>
      </c>
      <c r="K61" s="74">
        <v>150974</v>
      </c>
      <c r="L61" s="74">
        <v>176739</v>
      </c>
      <c r="M61" s="74">
        <v>294401</v>
      </c>
      <c r="N61" s="74">
        <v>270327</v>
      </c>
      <c r="O61" s="74">
        <v>104362</v>
      </c>
      <c r="P61" s="74">
        <v>81423</v>
      </c>
      <c r="Q61" s="74">
        <v>47378</v>
      </c>
      <c r="R61" s="62">
        <v>77010</v>
      </c>
      <c r="S61" s="62">
        <v>149412</v>
      </c>
      <c r="T61" s="62">
        <v>158706</v>
      </c>
      <c r="U61" s="62">
        <v>141687</v>
      </c>
      <c r="V61" s="74">
        <v>76771</v>
      </c>
      <c r="W61" s="228">
        <v>130000</v>
      </c>
      <c r="X61" s="14"/>
    </row>
    <row r="62" spans="1:26" ht="18" customHeight="1">
      <c r="A62" s="109" t="s">
        <v>6</v>
      </c>
      <c r="B62" s="64"/>
      <c r="C62" s="64"/>
      <c r="D62" s="73"/>
      <c r="E62" s="73"/>
      <c r="F62" s="74">
        <v>20569</v>
      </c>
      <c r="G62" s="74">
        <v>55202</v>
      </c>
      <c r="H62" s="74">
        <v>188937</v>
      </c>
      <c r="I62" s="74">
        <v>33017.739094620614</v>
      </c>
      <c r="J62" s="74">
        <v>0</v>
      </c>
      <c r="K62" s="74">
        <v>76065</v>
      </c>
      <c r="L62" s="74">
        <v>131981</v>
      </c>
      <c r="M62" s="74">
        <v>243598</v>
      </c>
      <c r="N62" s="74">
        <v>356016</v>
      </c>
      <c r="O62" s="74">
        <v>178144</v>
      </c>
      <c r="P62" s="74">
        <v>135460</v>
      </c>
      <c r="Q62" s="74">
        <v>52592</v>
      </c>
      <c r="R62" s="62">
        <v>88619</v>
      </c>
      <c r="S62" s="62">
        <v>205664</v>
      </c>
      <c r="T62" s="62">
        <v>327254</v>
      </c>
      <c r="U62" s="62">
        <v>189594</v>
      </c>
      <c r="V62" s="74">
        <v>118953</v>
      </c>
      <c r="W62" s="228">
        <v>176170</v>
      </c>
      <c r="X62" s="14"/>
    </row>
    <row r="63" spans="1:26" ht="18" customHeight="1">
      <c r="A63" s="23"/>
      <c r="D63" s="64"/>
      <c r="E63" s="64"/>
      <c r="F63" s="112"/>
      <c r="G63" s="112"/>
      <c r="H63" s="112"/>
      <c r="I63" s="112"/>
      <c r="J63" s="112"/>
      <c r="K63" s="112"/>
      <c r="L63" s="112"/>
      <c r="M63" s="112"/>
      <c r="N63" s="112"/>
      <c r="O63" s="112"/>
      <c r="P63" s="112"/>
      <c r="Q63" s="112"/>
      <c r="R63" s="112"/>
      <c r="S63" s="112"/>
      <c r="T63" s="112"/>
      <c r="U63" s="112"/>
      <c r="V63" s="112"/>
      <c r="W63" s="240"/>
      <c r="X63" s="110"/>
      <c r="Y63" s="111"/>
      <c r="Z63" s="111"/>
    </row>
    <row r="64" spans="1:26" ht="18" customHeight="1">
      <c r="A64" s="109" t="s">
        <v>24</v>
      </c>
      <c r="B64" s="122"/>
      <c r="C64" s="122"/>
      <c r="D64" s="78"/>
      <c r="E64" s="78"/>
      <c r="F64" s="54">
        <f t="shared" ref="F64:W64" si="27">((F61*F32)+(F62*F33))/1000000</f>
        <v>36.52256418397895</v>
      </c>
      <c r="G64" s="54">
        <f t="shared" si="27"/>
        <v>57.733619250657711</v>
      </c>
      <c r="H64" s="54">
        <f t="shared" si="27"/>
        <v>163.86549623514466</v>
      </c>
      <c r="I64" s="54">
        <f t="shared" si="27"/>
        <v>33.61151874847986</v>
      </c>
      <c r="J64" s="54">
        <f t="shared" si="27"/>
        <v>0</v>
      </c>
      <c r="K64" s="54">
        <f t="shared" si="27"/>
        <v>83.270288487707504</v>
      </c>
      <c r="L64" s="54">
        <f t="shared" si="27"/>
        <v>114.0572883969881</v>
      </c>
      <c r="M64" s="54">
        <f t="shared" si="27"/>
        <v>198.6846227853579</v>
      </c>
      <c r="N64" s="54">
        <f t="shared" si="27"/>
        <v>230.69936621101331</v>
      </c>
      <c r="O64" s="54">
        <f t="shared" si="27"/>
        <v>103.64219359521002</v>
      </c>
      <c r="P64" s="54">
        <f t="shared" si="27"/>
        <v>79.651495509389463</v>
      </c>
      <c r="Q64" s="54">
        <f t="shared" si="27"/>
        <v>37.098655538419663</v>
      </c>
      <c r="R64" s="54">
        <f t="shared" si="27"/>
        <v>63.591463757597744</v>
      </c>
      <c r="S64" s="54">
        <f t="shared" si="27"/>
        <v>134.98378662795972</v>
      </c>
      <c r="T64" s="54">
        <f t="shared" si="27"/>
        <v>179.8616602739726</v>
      </c>
      <c r="U64" s="54">
        <f t="shared" si="27"/>
        <v>128.35412876712329</v>
      </c>
      <c r="V64" s="54">
        <f t="shared" si="27"/>
        <v>77.380033566179819</v>
      </c>
      <c r="W64" s="230">
        <f t="shared" si="27"/>
        <v>120.18992</v>
      </c>
      <c r="X64" s="19"/>
      <c r="Y64" s="63"/>
    </row>
    <row r="65" spans="1:32" ht="18" customHeight="1">
      <c r="A65" s="109" t="s">
        <v>25</v>
      </c>
      <c r="B65" s="96"/>
      <c r="C65" s="96"/>
      <c r="D65" s="64"/>
      <c r="E65" s="64"/>
      <c r="F65" s="52">
        <f t="shared" ref="F65:S65" si="28">F64/2</f>
        <v>18.261282091989475</v>
      </c>
      <c r="G65" s="52">
        <f t="shared" si="28"/>
        <v>28.866809625328855</v>
      </c>
      <c r="H65" s="52">
        <f t="shared" si="28"/>
        <v>81.932748117572331</v>
      </c>
      <c r="I65" s="52">
        <f t="shared" si="28"/>
        <v>16.80575937423993</v>
      </c>
      <c r="J65" s="52">
        <f t="shared" si="28"/>
        <v>0</v>
      </c>
      <c r="K65" s="52">
        <f t="shared" si="28"/>
        <v>41.635144243853752</v>
      </c>
      <c r="L65" s="52">
        <f t="shared" si="28"/>
        <v>57.02864419849405</v>
      </c>
      <c r="M65" s="52">
        <f t="shared" si="28"/>
        <v>99.342311392678951</v>
      </c>
      <c r="N65" s="52">
        <f t="shared" si="28"/>
        <v>115.34968310550666</v>
      </c>
      <c r="O65" s="52">
        <f t="shared" si="28"/>
        <v>51.821096797605009</v>
      </c>
      <c r="P65" s="52">
        <f t="shared" si="28"/>
        <v>39.825747754694731</v>
      </c>
      <c r="Q65" s="52">
        <f t="shared" si="28"/>
        <v>18.549327769209832</v>
      </c>
      <c r="R65" s="52">
        <f t="shared" si="28"/>
        <v>31.795731878798872</v>
      </c>
      <c r="S65" s="52">
        <f t="shared" si="28"/>
        <v>67.491893313979858</v>
      </c>
      <c r="T65" s="52">
        <f>T64/2</f>
        <v>89.930830136986302</v>
      </c>
      <c r="U65" s="52">
        <f>U64/2</f>
        <v>64.177064383561643</v>
      </c>
      <c r="V65" s="52">
        <f>V64/2</f>
        <v>38.690016783089909</v>
      </c>
      <c r="W65" s="224">
        <f>W64/2</f>
        <v>60.09496</v>
      </c>
      <c r="X65" s="65"/>
    </row>
    <row r="66" spans="1:32" ht="18" customHeight="1">
      <c r="A66" s="29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238"/>
      <c r="X66" s="66"/>
    </row>
    <row r="67" spans="1:32" ht="18" customHeight="1">
      <c r="A67" s="119" t="s">
        <v>114</v>
      </c>
      <c r="D67" s="52">
        <f t="shared" ref="D67:W67" si="29">D43+D58+D64</f>
        <v>1286.1520999177637</v>
      </c>
      <c r="E67" s="52">
        <f t="shared" si="29"/>
        <v>1351.0138838940486</v>
      </c>
      <c r="F67" s="52">
        <f t="shared" si="29"/>
        <v>1411.9523363871469</v>
      </c>
      <c r="G67" s="52">
        <f t="shared" si="29"/>
        <v>1476.5455321065708</v>
      </c>
      <c r="H67" s="52">
        <f t="shared" si="29"/>
        <v>1604.9312120845057</v>
      </c>
      <c r="I67" s="52">
        <f t="shared" si="29"/>
        <v>1228.5831368986467</v>
      </c>
      <c r="J67" s="52">
        <f t="shared" si="29"/>
        <v>1412.8617124850614</v>
      </c>
      <c r="K67" s="52">
        <f t="shared" si="29"/>
        <v>1571.4031497243536</v>
      </c>
      <c r="L67" s="52">
        <f t="shared" si="29"/>
        <v>1573.8760392045738</v>
      </c>
      <c r="M67" s="52">
        <f t="shared" si="29"/>
        <v>1650.7056617471319</v>
      </c>
      <c r="N67" s="52">
        <f t="shared" si="29"/>
        <v>1681.0237316542016</v>
      </c>
      <c r="O67" s="52">
        <f t="shared" si="29"/>
        <v>1476.6125304009602</v>
      </c>
      <c r="P67" s="52">
        <f t="shared" si="29"/>
        <v>1497.0136948853337</v>
      </c>
      <c r="Q67" s="52">
        <f t="shared" si="29"/>
        <v>1282.1364811166391</v>
      </c>
      <c r="R67" s="52">
        <f t="shared" si="29"/>
        <v>1245.5832218831288</v>
      </c>
      <c r="S67" s="52">
        <f t="shared" si="29"/>
        <v>1278.1605493527256</v>
      </c>
      <c r="T67" s="52">
        <f t="shared" si="29"/>
        <v>1358.9883349824213</v>
      </c>
      <c r="U67" s="52">
        <f t="shared" si="29"/>
        <v>1285.895883193396</v>
      </c>
      <c r="V67" s="52">
        <f t="shared" si="29"/>
        <v>1335.5543208485014</v>
      </c>
      <c r="W67" s="224">
        <f t="shared" si="29"/>
        <v>1334.5369811715766</v>
      </c>
      <c r="X67" s="64"/>
    </row>
    <row r="68" spans="1:32" ht="18" customHeight="1">
      <c r="A68" s="119" t="s">
        <v>115</v>
      </c>
      <c r="D68" s="52">
        <f t="shared" ref="D68:T68" si="30">D67-D65</f>
        <v>1286.1520999177637</v>
      </c>
      <c r="E68" s="52">
        <f t="shared" si="30"/>
        <v>1351.0138838940486</v>
      </c>
      <c r="F68" s="52">
        <f t="shared" si="30"/>
        <v>1393.6910542951575</v>
      </c>
      <c r="G68" s="52">
        <f t="shared" si="30"/>
        <v>1447.6787224812419</v>
      </c>
      <c r="H68" s="52">
        <f t="shared" si="30"/>
        <v>1522.9984639669333</v>
      </c>
      <c r="I68" s="52">
        <f t="shared" si="30"/>
        <v>1211.7773775244068</v>
      </c>
      <c r="J68" s="52">
        <f t="shared" si="30"/>
        <v>1412.8617124850614</v>
      </c>
      <c r="K68" s="52">
        <f t="shared" si="30"/>
        <v>1529.7680054804998</v>
      </c>
      <c r="L68" s="52">
        <f t="shared" si="30"/>
        <v>1516.8473950060798</v>
      </c>
      <c r="M68" s="52">
        <f t="shared" si="30"/>
        <v>1551.3633503544529</v>
      </c>
      <c r="N68" s="52">
        <f t="shared" si="30"/>
        <v>1565.6740485486948</v>
      </c>
      <c r="O68" s="52">
        <f t="shared" si="30"/>
        <v>1424.7914336033552</v>
      </c>
      <c r="P68" s="52">
        <f t="shared" si="30"/>
        <v>1457.187947130639</v>
      </c>
      <c r="Q68" s="52">
        <f t="shared" si="30"/>
        <v>1263.5871533474292</v>
      </c>
      <c r="R68" s="52">
        <f t="shared" si="30"/>
        <v>1213.7874900043298</v>
      </c>
      <c r="S68" s="52">
        <f t="shared" si="30"/>
        <v>1210.6686560387457</v>
      </c>
      <c r="T68" s="52">
        <f t="shared" si="30"/>
        <v>1269.057504845435</v>
      </c>
      <c r="U68" s="52">
        <f>U67-U65</f>
        <v>1221.7188188098344</v>
      </c>
      <c r="V68" s="52">
        <f>V67-V65</f>
        <v>1296.8643040654115</v>
      </c>
      <c r="W68" s="224">
        <f>W67-W65</f>
        <v>1274.4420211715767</v>
      </c>
      <c r="X68" s="66"/>
    </row>
    <row r="69" spans="1:32" ht="18" customHeight="1">
      <c r="A69" s="119" t="s">
        <v>116</v>
      </c>
      <c r="D69" s="52">
        <f t="shared" ref="D69:S69" si="31">D67*0.73</f>
        <v>938.89103293996754</v>
      </c>
      <c r="E69" s="52">
        <f t="shared" si="31"/>
        <v>986.24013524265547</v>
      </c>
      <c r="F69" s="52">
        <f t="shared" si="31"/>
        <v>1030.7252055626172</v>
      </c>
      <c r="G69" s="121">
        <f t="shared" si="31"/>
        <v>1077.8782384377967</v>
      </c>
      <c r="H69" s="52">
        <f t="shared" si="31"/>
        <v>1171.5997848216891</v>
      </c>
      <c r="I69" s="52">
        <f t="shared" si="31"/>
        <v>896.86568993601202</v>
      </c>
      <c r="J69" s="52">
        <f t="shared" si="31"/>
        <v>1031.3890501140947</v>
      </c>
      <c r="K69" s="52">
        <f t="shared" si="31"/>
        <v>1147.1242992987782</v>
      </c>
      <c r="L69" s="52">
        <f t="shared" si="31"/>
        <v>1148.9295086193388</v>
      </c>
      <c r="M69" s="52">
        <f t="shared" si="31"/>
        <v>1205.0151330754063</v>
      </c>
      <c r="N69" s="52">
        <f t="shared" si="31"/>
        <v>1227.1473241075671</v>
      </c>
      <c r="O69" s="52">
        <f t="shared" si="31"/>
        <v>1077.9271471927009</v>
      </c>
      <c r="P69" s="52">
        <f t="shared" si="31"/>
        <v>1092.8199972662935</v>
      </c>
      <c r="Q69" s="52">
        <f t="shared" si="31"/>
        <v>935.95963121514649</v>
      </c>
      <c r="R69" s="52">
        <f t="shared" si="31"/>
        <v>909.275751974684</v>
      </c>
      <c r="S69" s="52">
        <f t="shared" si="31"/>
        <v>933.05720102748967</v>
      </c>
      <c r="T69" s="52">
        <f>T67*0.73</f>
        <v>992.06148453716753</v>
      </c>
      <c r="U69" s="52">
        <f>U67*0.73</f>
        <v>938.70399473117902</v>
      </c>
      <c r="V69" s="52">
        <f>V67*0.73</f>
        <v>974.95465421940605</v>
      </c>
      <c r="W69" s="224">
        <f>W67*0.73</f>
        <v>974.21199625525094</v>
      </c>
      <c r="X69" s="66"/>
    </row>
    <row r="70" spans="1:32" ht="3" customHeight="1">
      <c r="A70" s="85"/>
      <c r="B70" s="84"/>
      <c r="C70" s="84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  <c r="Q70" s="86"/>
      <c r="R70" s="86"/>
      <c r="S70" s="86"/>
      <c r="T70" s="86"/>
      <c r="U70" s="86"/>
      <c r="V70" s="86"/>
      <c r="W70" s="86"/>
      <c r="X70" s="66"/>
    </row>
    <row r="71" spans="1:32" ht="18" customHeight="1">
      <c r="B71" s="66"/>
      <c r="C71" s="66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64"/>
    </row>
    <row r="72" spans="1:32" ht="18" customHeight="1">
      <c r="A72" s="23"/>
      <c r="B72" s="66"/>
      <c r="C72" s="66"/>
      <c r="D72" s="64"/>
      <c r="E72" s="64"/>
      <c r="F72" s="64"/>
      <c r="G72" s="64"/>
      <c r="H72" s="64"/>
      <c r="I72" s="64"/>
      <c r="J72" s="64"/>
      <c r="K72" s="64"/>
      <c r="L72" s="64"/>
      <c r="M72" s="64"/>
      <c r="N72" s="64"/>
      <c r="O72" s="64"/>
      <c r="P72" s="64"/>
      <c r="Q72" s="64"/>
      <c r="R72" s="64"/>
      <c r="S72" s="64"/>
      <c r="T72" s="64"/>
      <c r="U72" s="64"/>
      <c r="V72" s="64"/>
      <c r="W72" s="64"/>
      <c r="X72" s="66"/>
    </row>
    <row r="73" spans="1:32" ht="18" customHeight="1">
      <c r="A73" s="38" t="s">
        <v>30</v>
      </c>
      <c r="B73" s="87">
        <v>1996</v>
      </c>
      <c r="C73" s="87">
        <v>1997</v>
      </c>
      <c r="D73" s="87">
        <v>1998</v>
      </c>
      <c r="E73" s="87">
        <v>1999</v>
      </c>
      <c r="F73" s="87">
        <v>2000</v>
      </c>
      <c r="G73" s="87">
        <f>F73+1</f>
        <v>2001</v>
      </c>
      <c r="H73" s="87">
        <f>G73+1</f>
        <v>2002</v>
      </c>
      <c r="I73" s="87">
        <f>H73+1</f>
        <v>2003</v>
      </c>
      <c r="J73" s="87">
        <f>I73+1</f>
        <v>2004</v>
      </c>
      <c r="K73" s="87">
        <v>2005</v>
      </c>
      <c r="L73" s="87">
        <v>2006</v>
      </c>
      <c r="M73" s="87">
        <v>2007</v>
      </c>
      <c r="N73" s="87">
        <v>2008</v>
      </c>
      <c r="O73" s="87">
        <v>2009</v>
      </c>
      <c r="P73" s="87">
        <v>2010</v>
      </c>
      <c r="Q73" s="87">
        <v>2011</v>
      </c>
      <c r="R73" s="87">
        <v>2012</v>
      </c>
      <c r="S73" s="87">
        <v>2013</v>
      </c>
      <c r="T73" s="87">
        <v>2014</v>
      </c>
      <c r="U73" s="87">
        <v>2015</v>
      </c>
      <c r="V73" s="87">
        <v>2016</v>
      </c>
      <c r="Z73" s="3"/>
      <c r="AA73" s="3"/>
      <c r="AB73" s="2"/>
      <c r="AC73" s="9"/>
      <c r="AD73" s="9"/>
      <c r="AE73" s="9"/>
      <c r="AF73" s="9"/>
    </row>
    <row r="74" spans="1:32" ht="18" customHeight="1">
      <c r="A74" s="21" t="s">
        <v>31</v>
      </c>
      <c r="B74" s="55">
        <v>4718.2</v>
      </c>
      <c r="C74" s="55">
        <v>4688.3999999999996</v>
      </c>
      <c r="D74" s="55">
        <v>4601.1000000000004</v>
      </c>
      <c r="E74" s="55">
        <v>4616.7</v>
      </c>
      <c r="F74" s="55">
        <v>4710.6000000000004</v>
      </c>
      <c r="G74" s="55">
        <v>4799.3</v>
      </c>
      <c r="H74" s="55">
        <v>4821.6000000000004</v>
      </c>
      <c r="I74" s="55">
        <v>4924.2</v>
      </c>
      <c r="J74" s="55">
        <v>5334.7</v>
      </c>
      <c r="K74" s="55">
        <v>5436.2</v>
      </c>
      <c r="L74" s="55">
        <v>5164.6000000000004</v>
      </c>
      <c r="M74" s="55">
        <v>5030.2</v>
      </c>
      <c r="N74" s="55">
        <v>4767.3999999999996</v>
      </c>
      <c r="O74" s="55">
        <v>4374.8</v>
      </c>
      <c r="P74" s="55">
        <v>4096</v>
      </c>
      <c r="Q74" s="55">
        <v>3944.2</v>
      </c>
      <c r="R74" s="55">
        <v>3955.4</v>
      </c>
      <c r="S74" s="55">
        <v>3962.5</v>
      </c>
      <c r="T74" s="55">
        <v>3926.6</v>
      </c>
      <c r="U74" s="57">
        <v>3799.5</v>
      </c>
      <c r="V74" s="57">
        <v>3811.4</v>
      </c>
      <c r="W74" s="68"/>
      <c r="X74" s="25"/>
      <c r="Y74" s="25"/>
    </row>
    <row r="75" spans="1:32" ht="18" customHeight="1">
      <c r="A75" s="5" t="s">
        <v>23</v>
      </c>
      <c r="B75" s="37">
        <v>4608.2</v>
      </c>
      <c r="C75" s="37">
        <v>4708.7</v>
      </c>
      <c r="D75" s="45">
        <f>(0.33*B74)+(0.67*C74)</f>
        <v>4698.2340000000004</v>
      </c>
      <c r="E75" s="45">
        <f>(0.33*C74)+(0.67*D74)</f>
        <v>4629.9090000000006</v>
      </c>
      <c r="F75" s="45">
        <f>(0.33*D74)+(0.67*E74)</f>
        <v>4611.5519999999997</v>
      </c>
      <c r="G75" s="45">
        <f>(0.33*E74)+(0.67*F74)</f>
        <v>4679.6130000000003</v>
      </c>
      <c r="H75" s="45">
        <f>(0.33*F74)+(0.67*G74)</f>
        <v>4770.0290000000005</v>
      </c>
      <c r="I75" s="45">
        <f t="shared" ref="I75:P75" si="32">(0.33*G74)+(0.67*H74)</f>
        <v>4814.2410000000009</v>
      </c>
      <c r="J75" s="45">
        <f t="shared" si="32"/>
        <v>4890.3420000000006</v>
      </c>
      <c r="K75" s="45">
        <f t="shared" si="32"/>
        <v>5199.2350000000006</v>
      </c>
      <c r="L75" s="45">
        <f t="shared" si="32"/>
        <v>5402.7049999999999</v>
      </c>
      <c r="M75" s="45">
        <f t="shared" si="32"/>
        <v>5254.228000000001</v>
      </c>
      <c r="N75" s="45">
        <f t="shared" si="32"/>
        <v>5074.5519999999997</v>
      </c>
      <c r="O75" s="45">
        <f t="shared" si="32"/>
        <v>4854.1239999999998</v>
      </c>
      <c r="P75" s="45">
        <f t="shared" si="32"/>
        <v>4504.3580000000002</v>
      </c>
      <c r="Q75" s="45">
        <f t="shared" ref="Q75:V75" si="33">(0.33*O74)+(0.67*P74)</f>
        <v>4188.0040000000008</v>
      </c>
      <c r="R75" s="45">
        <f t="shared" si="33"/>
        <v>3994.2939999999999</v>
      </c>
      <c r="S75" s="45">
        <f t="shared" si="33"/>
        <v>3951.7040000000006</v>
      </c>
      <c r="T75" s="45">
        <f t="shared" si="33"/>
        <v>3960.1570000000002</v>
      </c>
      <c r="U75" s="45">
        <f t="shared" si="33"/>
        <v>3938.4470000000001</v>
      </c>
      <c r="V75" s="45">
        <f t="shared" si="33"/>
        <v>3841.4430000000002</v>
      </c>
      <c r="W75" s="14"/>
      <c r="X75" s="14"/>
      <c r="Y75" s="3"/>
    </row>
    <row r="76" spans="1:32" ht="18" customHeight="1">
      <c r="A76" t="s">
        <v>0</v>
      </c>
      <c r="B76" s="37">
        <v>1219.5999999999999</v>
      </c>
      <c r="C76" s="37">
        <v>1215.3</v>
      </c>
      <c r="D76" s="37">
        <v>1202</v>
      </c>
      <c r="E76" s="37">
        <v>1197.5999999999999</v>
      </c>
      <c r="F76" s="37">
        <v>1122</v>
      </c>
      <c r="G76" s="37">
        <v>1073</v>
      </c>
      <c r="H76" s="37">
        <v>1055</v>
      </c>
      <c r="I76" s="37">
        <v>1081</v>
      </c>
      <c r="J76" s="37">
        <v>1073</v>
      </c>
      <c r="K76" s="37">
        <v>1073</v>
      </c>
      <c r="L76" s="37">
        <v>1000.4</v>
      </c>
      <c r="M76" s="37">
        <v>979.1</v>
      </c>
      <c r="N76" s="37">
        <v>981.8</v>
      </c>
      <c r="O76" s="37">
        <v>964.3</v>
      </c>
      <c r="P76" s="37">
        <v>965.5</v>
      </c>
      <c r="Q76" s="37">
        <v>958.6</v>
      </c>
      <c r="R76" s="37">
        <v>952.1</v>
      </c>
      <c r="S76" s="37">
        <v>952.3</v>
      </c>
      <c r="T76" s="37">
        <v>949</v>
      </c>
      <c r="U76" s="37">
        <v>937.8</v>
      </c>
      <c r="V76" s="35">
        <v>929.4</v>
      </c>
      <c r="W76" s="3"/>
      <c r="X76" s="25"/>
      <c r="Y76" s="1"/>
      <c r="Z76" s="2"/>
      <c r="AA76" s="2"/>
      <c r="AB76" s="2"/>
    </row>
    <row r="77" spans="1:32" ht="18" customHeight="1">
      <c r="A77" t="s">
        <v>1</v>
      </c>
      <c r="B77" s="37">
        <f t="shared" ref="B77:T77" si="34">B74+B76</f>
        <v>5937.7999999999993</v>
      </c>
      <c r="C77" s="37">
        <f t="shared" si="34"/>
        <v>5903.7</v>
      </c>
      <c r="D77" s="45">
        <f t="shared" si="34"/>
        <v>5803.1</v>
      </c>
      <c r="E77" s="45">
        <f t="shared" si="34"/>
        <v>5814.2999999999993</v>
      </c>
      <c r="F77" s="45">
        <f t="shared" si="34"/>
        <v>5832.6</v>
      </c>
      <c r="G77" s="45">
        <f t="shared" si="34"/>
        <v>5872.3</v>
      </c>
      <c r="H77" s="45">
        <f t="shared" si="34"/>
        <v>5876.6</v>
      </c>
      <c r="I77" s="45">
        <f t="shared" si="34"/>
        <v>6005.2</v>
      </c>
      <c r="J77" s="45">
        <f t="shared" si="34"/>
        <v>6407.7</v>
      </c>
      <c r="K77" s="45">
        <f t="shared" si="34"/>
        <v>6509.2</v>
      </c>
      <c r="L77" s="45">
        <f t="shared" si="34"/>
        <v>6165</v>
      </c>
      <c r="M77" s="45">
        <f t="shared" si="34"/>
        <v>6009.3</v>
      </c>
      <c r="N77" s="45">
        <f t="shared" si="34"/>
        <v>5749.2</v>
      </c>
      <c r="O77" s="45">
        <f t="shared" si="34"/>
        <v>5339.1</v>
      </c>
      <c r="P77" s="45">
        <f t="shared" si="34"/>
        <v>5061.5</v>
      </c>
      <c r="Q77" s="45">
        <f t="shared" si="34"/>
        <v>4902.8</v>
      </c>
      <c r="R77" s="45">
        <f t="shared" si="34"/>
        <v>4907.5</v>
      </c>
      <c r="S77" s="45">
        <f t="shared" si="34"/>
        <v>4914.8</v>
      </c>
      <c r="T77" s="45">
        <f t="shared" si="34"/>
        <v>4875.6000000000004</v>
      </c>
      <c r="U77" s="45">
        <f>U74+U76</f>
        <v>4737.3</v>
      </c>
      <c r="V77" s="45">
        <f>V74+V76</f>
        <v>4740.8</v>
      </c>
      <c r="W77" s="14"/>
      <c r="X77" s="14"/>
      <c r="Y77" s="19"/>
      <c r="AA77" s="14"/>
    </row>
    <row r="78" spans="1:32" ht="18" customHeight="1">
      <c r="A78" t="s">
        <v>82</v>
      </c>
      <c r="B78" s="16"/>
      <c r="C78" s="16"/>
      <c r="D78" s="45">
        <f>((B77*0.33)+(C77*0.67))</f>
        <v>5914.9530000000004</v>
      </c>
      <c r="E78" s="45">
        <f>((C77*0.33)+(D77*0.67))</f>
        <v>5836.2980000000007</v>
      </c>
      <c r="F78" s="45">
        <f>((D77*0.33)+(E77*0.67))</f>
        <v>5810.6039999999994</v>
      </c>
      <c r="G78" s="45">
        <f t="shared" ref="G78:O78" si="35">((E77*0.33)+(F77*0.67))</f>
        <v>5826.5610000000006</v>
      </c>
      <c r="H78" s="45">
        <f t="shared" si="35"/>
        <v>5859.1990000000005</v>
      </c>
      <c r="I78" s="45">
        <f t="shared" si="35"/>
        <v>5875.1810000000005</v>
      </c>
      <c r="J78" s="45">
        <f t="shared" si="35"/>
        <v>5962.7620000000006</v>
      </c>
      <c r="K78" s="45">
        <f t="shared" si="35"/>
        <v>6274.8750000000009</v>
      </c>
      <c r="L78" s="45">
        <f t="shared" si="35"/>
        <v>6475.7049999999999</v>
      </c>
      <c r="M78" s="45">
        <f t="shared" si="35"/>
        <v>6278.5860000000002</v>
      </c>
      <c r="N78" s="45">
        <f t="shared" si="35"/>
        <v>6060.6810000000005</v>
      </c>
      <c r="O78" s="45">
        <f t="shared" si="35"/>
        <v>5835.0330000000004</v>
      </c>
      <c r="P78" s="45">
        <f t="shared" ref="P78:V78" si="36">((N77*0.33)+(O77*0.67))</f>
        <v>5474.4330000000009</v>
      </c>
      <c r="Q78" s="45">
        <f t="shared" si="36"/>
        <v>5153.1080000000002</v>
      </c>
      <c r="R78" s="45">
        <f t="shared" si="36"/>
        <v>4955.1710000000003</v>
      </c>
      <c r="S78" s="45">
        <f t="shared" si="36"/>
        <v>4905.9490000000005</v>
      </c>
      <c r="T78" s="45">
        <f t="shared" si="36"/>
        <v>4912.3910000000005</v>
      </c>
      <c r="U78" s="45">
        <f t="shared" si="36"/>
        <v>4888.536000000001</v>
      </c>
      <c r="V78" s="45">
        <f t="shared" si="36"/>
        <v>4782.9390000000003</v>
      </c>
      <c r="W78" s="3"/>
      <c r="X78" s="3"/>
      <c r="Y78" s="3"/>
      <c r="AA78" s="14"/>
    </row>
    <row r="79" spans="1:32" ht="18" customHeight="1">
      <c r="A79" t="s">
        <v>10</v>
      </c>
      <c r="B79" s="2"/>
      <c r="C79" s="2"/>
      <c r="D79" s="46">
        <f>(D87/D77)/1000</f>
        <v>8.9731321264325564E-2</v>
      </c>
      <c r="E79" s="46">
        <f t="shared" ref="E79:U79" si="37">(E87/E77)/1000</f>
        <v>8.7391591045831829E-2</v>
      </c>
      <c r="F79" s="46">
        <f t="shared" si="37"/>
        <v>0.11209324480076996</v>
      </c>
      <c r="G79" s="46">
        <f t="shared" si="37"/>
        <v>0.12904975041239766</v>
      </c>
      <c r="H79" s="46">
        <f t="shared" si="37"/>
        <v>0.15239770904259575</v>
      </c>
      <c r="I79" s="46">
        <f t="shared" si="37"/>
        <v>8.1197919909974742E-2</v>
      </c>
      <c r="J79" s="46">
        <f t="shared" si="37"/>
        <v>6.7783789579614007E-2</v>
      </c>
      <c r="K79" s="46">
        <f t="shared" si="37"/>
        <v>9.0456362924957054E-2</v>
      </c>
      <c r="L79" s="46">
        <f t="shared" si="37"/>
        <v>0.11737212234719561</v>
      </c>
      <c r="M79" s="46">
        <f t="shared" si="37"/>
        <v>0.1232309283459227</v>
      </c>
      <c r="N79" s="46">
        <f t="shared" si="37"/>
        <v>0.1720007083060654</v>
      </c>
      <c r="O79" s="46">
        <f t="shared" si="37"/>
        <v>0.15803610946744451</v>
      </c>
      <c r="P79" s="46">
        <f t="shared" si="37"/>
        <v>0.15623808651020266</v>
      </c>
      <c r="Q79" s="46">
        <f t="shared" si="37"/>
        <v>0.13110486858079753</v>
      </c>
      <c r="R79" s="46">
        <f t="shared" si="37"/>
        <v>0.12617474522636477</v>
      </c>
      <c r="S79" s="46">
        <f t="shared" si="37"/>
        <v>0.15536179028490305</v>
      </c>
      <c r="T79" s="46">
        <f t="shared" si="37"/>
        <v>0.14584187183055386</v>
      </c>
      <c r="U79" s="46">
        <f t="shared" si="37"/>
        <v>0.12226169874098831</v>
      </c>
      <c r="V79" s="46">
        <f>(V87/V77)/1000</f>
        <v>0.12679524344346182</v>
      </c>
      <c r="W79" s="24"/>
      <c r="Z79" s="9"/>
      <c r="AA79" s="2"/>
      <c r="AB79" s="2"/>
    </row>
    <row r="80" spans="1:32" ht="18" customHeight="1">
      <c r="A80" s="23" t="s">
        <v>57</v>
      </c>
      <c r="B80" s="46">
        <f t="shared" ref="B80:Q80" si="38">B76/B77</f>
        <v>0.20539593788945401</v>
      </c>
      <c r="C80" s="46">
        <f t="shared" si="38"/>
        <v>0.20585395599369888</v>
      </c>
      <c r="D80" s="46">
        <f t="shared" si="38"/>
        <v>0.20713067153762643</v>
      </c>
      <c r="E80" s="46">
        <f t="shared" si="38"/>
        <v>0.20597492389453589</v>
      </c>
      <c r="F80" s="46">
        <f t="shared" si="38"/>
        <v>0.19236704042793951</v>
      </c>
      <c r="G80" s="46">
        <f t="shared" si="38"/>
        <v>0.18272227236346916</v>
      </c>
      <c r="H80" s="46">
        <f t="shared" si="38"/>
        <v>0.17952557601334104</v>
      </c>
      <c r="I80" s="46">
        <f t="shared" si="38"/>
        <v>0.18001065743022715</v>
      </c>
      <c r="J80" s="46">
        <f t="shared" si="38"/>
        <v>0.16745478096664951</v>
      </c>
      <c r="K80" s="46">
        <f t="shared" si="38"/>
        <v>0.16484360597308426</v>
      </c>
      <c r="L80" s="46">
        <f t="shared" si="38"/>
        <v>0.16227088402270884</v>
      </c>
      <c r="M80" s="46">
        <f t="shared" si="38"/>
        <v>0.16293079060789109</v>
      </c>
      <c r="N80" s="46">
        <f t="shared" si="38"/>
        <v>0.17077158561191122</v>
      </c>
      <c r="O80" s="46">
        <f t="shared" si="38"/>
        <v>0.18061096439474816</v>
      </c>
      <c r="P80" s="46">
        <f t="shared" si="38"/>
        <v>0.19075372913168034</v>
      </c>
      <c r="Q80" s="46">
        <f t="shared" si="38"/>
        <v>0.19552092681732888</v>
      </c>
      <c r="R80" s="46">
        <f>R76/R77</f>
        <v>0.19400916963830872</v>
      </c>
      <c r="S80" s="46">
        <f>S76/S77</f>
        <v>0.19376169935704401</v>
      </c>
      <c r="T80" s="46">
        <f>T76/T77</f>
        <v>0.19464271064074165</v>
      </c>
      <c r="U80" s="46">
        <f>U76/U77</f>
        <v>0.1979608637831676</v>
      </c>
      <c r="V80" s="46">
        <f>V76/V77</f>
        <v>0.19604286196422543</v>
      </c>
      <c r="W80" s="24"/>
      <c r="X80" s="3"/>
      <c r="Y80" s="3"/>
      <c r="Z80" s="9"/>
      <c r="AA80" s="2"/>
    </row>
    <row r="81" spans="1:43" ht="18" customHeight="1">
      <c r="A81" s="23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9"/>
      <c r="O81" s="32"/>
      <c r="P81" s="32"/>
      <c r="Q81" s="32"/>
      <c r="R81" s="32"/>
      <c r="S81" s="32"/>
      <c r="T81" s="32"/>
      <c r="U81" s="32"/>
      <c r="V81" s="32"/>
      <c r="W81" s="27"/>
      <c r="Z81" s="9"/>
      <c r="AA81" s="2"/>
      <c r="AB81" s="2"/>
    </row>
    <row r="82" spans="1:43" ht="18" customHeight="1">
      <c r="A82" s="38" t="s">
        <v>43</v>
      </c>
      <c r="B82" s="2"/>
      <c r="C82" s="2"/>
      <c r="D82" s="14"/>
      <c r="E82" s="14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24"/>
      <c r="Z82" s="9"/>
      <c r="AA82" s="2"/>
      <c r="AB82" s="2"/>
    </row>
    <row r="83" spans="1:43" ht="18" customHeight="1">
      <c r="A83" s="23" t="s">
        <v>105</v>
      </c>
      <c r="B83" s="14"/>
      <c r="C83" s="43">
        <f t="shared" ref="C83:V83" si="39">C25+C46+C61</f>
        <v>1945102.6943568781</v>
      </c>
      <c r="D83" s="43">
        <f t="shared" si="39"/>
        <v>2045064.0873248409</v>
      </c>
      <c r="E83" s="43">
        <f t="shared" si="39"/>
        <v>2063885.3254416224</v>
      </c>
      <c r="F83" s="43">
        <f t="shared" si="39"/>
        <v>2186863.5537551697</v>
      </c>
      <c r="G83" s="43">
        <f t="shared" si="39"/>
        <v>2236185.2357545434</v>
      </c>
      <c r="H83" s="43">
        <f t="shared" si="39"/>
        <v>2367085.0607665782</v>
      </c>
      <c r="I83" s="43">
        <f t="shared" si="39"/>
        <v>1857520.1225354671</v>
      </c>
      <c r="J83" s="43">
        <f t="shared" si="39"/>
        <v>2028209.157575483</v>
      </c>
      <c r="K83" s="43">
        <f t="shared" si="39"/>
        <v>2307341.457036234</v>
      </c>
      <c r="L83" s="43">
        <f t="shared" si="39"/>
        <v>2204259.1389416265</v>
      </c>
      <c r="M83" s="43">
        <f t="shared" si="39"/>
        <v>2331030.9090354391</v>
      </c>
      <c r="N83" s="43">
        <f t="shared" si="39"/>
        <v>2219437.4784829454</v>
      </c>
      <c r="O83" s="43">
        <f t="shared" si="39"/>
        <v>2007579.7330479168</v>
      </c>
      <c r="P83" s="43">
        <f t="shared" si="39"/>
        <v>2088168.7988758078</v>
      </c>
      <c r="Q83" s="43">
        <f t="shared" si="39"/>
        <v>1830970.6913961559</v>
      </c>
      <c r="R83" s="43">
        <f t="shared" si="39"/>
        <v>1768233.3673599365</v>
      </c>
      <c r="S83" s="43">
        <f t="shared" si="39"/>
        <v>1794076.1834504523</v>
      </c>
      <c r="T83" s="43">
        <f t="shared" si="39"/>
        <v>1887868.4150156281</v>
      </c>
      <c r="U83" s="43">
        <f t="shared" si="39"/>
        <v>1774609.0398071429</v>
      </c>
      <c r="V83" s="43">
        <f t="shared" si="39"/>
        <v>1802961.5202623913</v>
      </c>
      <c r="W83" s="14"/>
      <c r="Y83" s="16"/>
      <c r="Z83" s="9"/>
      <c r="AA83" s="2"/>
      <c r="AB83" s="2"/>
    </row>
    <row r="84" spans="1:43" ht="18" customHeight="1">
      <c r="A84" s="23" t="s">
        <v>106</v>
      </c>
      <c r="B84" s="14"/>
      <c r="C84" s="43">
        <f>C83-C85</f>
        <v>1750592.4249211904</v>
      </c>
      <c r="D84" s="43">
        <f t="shared" ref="D84:O84" si="40">D83-D85</f>
        <v>1840557.6785923569</v>
      </c>
      <c r="E84" s="43">
        <f t="shared" si="40"/>
        <v>1857496.7928974601</v>
      </c>
      <c r="F84" s="43">
        <f t="shared" si="40"/>
        <v>1968177.1983796528</v>
      </c>
      <c r="G84" s="43">
        <f t="shared" si="40"/>
        <v>2012566.712179089</v>
      </c>
      <c r="H84" s="43">
        <f t="shared" si="40"/>
        <v>2130376.5546899205</v>
      </c>
      <c r="I84" s="43">
        <f t="shared" si="40"/>
        <v>1671768.1102819205</v>
      </c>
      <c r="J84" s="43">
        <f t="shared" si="40"/>
        <v>1825388.2418179347</v>
      </c>
      <c r="K84" s="43">
        <f t="shared" si="40"/>
        <v>2076607.3113326104</v>
      </c>
      <c r="L84" s="43">
        <f t="shared" si="40"/>
        <v>1983833.2250474638</v>
      </c>
      <c r="M84" s="43">
        <f t="shared" si="40"/>
        <v>2097927.8181318953</v>
      </c>
      <c r="N84" s="43">
        <f t="shared" si="40"/>
        <v>1997493.7306346507</v>
      </c>
      <c r="O84" s="43">
        <f t="shared" si="40"/>
        <v>1806821.7597431252</v>
      </c>
      <c r="P84" s="43">
        <f t="shared" ref="P84:U84" si="41">P83-P85</f>
        <v>1879351.9189882269</v>
      </c>
      <c r="Q84" s="43">
        <f t="shared" si="41"/>
        <v>1647873.6222565402</v>
      </c>
      <c r="R84" s="43">
        <f t="shared" si="41"/>
        <v>1591410.0306239428</v>
      </c>
      <c r="S84" s="43">
        <f t="shared" si="41"/>
        <v>1614668.565105407</v>
      </c>
      <c r="T84" s="43">
        <f t="shared" si="41"/>
        <v>1699081.5735140652</v>
      </c>
      <c r="U84" s="43">
        <f t="shared" si="41"/>
        <v>1597148.1358264287</v>
      </c>
      <c r="V84" s="43">
        <f>V83-V85</f>
        <v>1622665.3682361522</v>
      </c>
      <c r="W84" s="14"/>
      <c r="Y84" s="16"/>
      <c r="Z84" s="9"/>
      <c r="AA84" s="2"/>
      <c r="AB84" s="2"/>
    </row>
    <row r="85" spans="1:43" ht="18" customHeight="1">
      <c r="A85" s="23" t="s">
        <v>107</v>
      </c>
      <c r="B85" s="43">
        <f t="shared" ref="B85:U85" si="42">B83*0.1</f>
        <v>0</v>
      </c>
      <c r="C85" s="43">
        <f t="shared" si="42"/>
        <v>194510.26943568781</v>
      </c>
      <c r="D85" s="43">
        <f t="shared" si="42"/>
        <v>204506.40873248409</v>
      </c>
      <c r="E85" s="43">
        <f t="shared" si="42"/>
        <v>206388.53254416224</v>
      </c>
      <c r="F85" s="43">
        <f t="shared" si="42"/>
        <v>218686.35537551699</v>
      </c>
      <c r="G85" s="43">
        <f t="shared" si="42"/>
        <v>223618.52357545437</v>
      </c>
      <c r="H85" s="43">
        <f t="shared" si="42"/>
        <v>236708.50607665782</v>
      </c>
      <c r="I85" s="43">
        <f t="shared" si="42"/>
        <v>185752.01225354674</v>
      </c>
      <c r="J85" s="43">
        <f t="shared" si="42"/>
        <v>202820.9157575483</v>
      </c>
      <c r="K85" s="43">
        <f t="shared" si="42"/>
        <v>230734.14570362342</v>
      </c>
      <c r="L85" s="43">
        <f t="shared" si="42"/>
        <v>220425.91389416266</v>
      </c>
      <c r="M85" s="43">
        <f t="shared" si="42"/>
        <v>233103.09090354393</v>
      </c>
      <c r="N85" s="43">
        <f t="shared" si="42"/>
        <v>221943.74784829456</v>
      </c>
      <c r="O85" s="43">
        <f t="shared" si="42"/>
        <v>200757.9733047917</v>
      </c>
      <c r="P85" s="43">
        <f t="shared" si="42"/>
        <v>208816.87988758078</v>
      </c>
      <c r="Q85" s="43">
        <f t="shared" si="42"/>
        <v>183097.0691396156</v>
      </c>
      <c r="R85" s="43">
        <f t="shared" si="42"/>
        <v>176823.33673599365</v>
      </c>
      <c r="S85" s="43">
        <f t="shared" si="42"/>
        <v>179407.61834504525</v>
      </c>
      <c r="T85" s="43">
        <f t="shared" si="42"/>
        <v>188786.84150156283</v>
      </c>
      <c r="U85" s="43">
        <f t="shared" si="42"/>
        <v>177460.9039807143</v>
      </c>
      <c r="V85" s="43">
        <f>V83*0.1</f>
        <v>180296.15202623914</v>
      </c>
      <c r="W85" s="14"/>
      <c r="Y85" s="16"/>
      <c r="Z85" s="9"/>
      <c r="AA85" s="2"/>
      <c r="AB85" s="2"/>
    </row>
    <row r="86" spans="1:43" ht="18" customHeight="1">
      <c r="A86" s="23" t="s">
        <v>6</v>
      </c>
      <c r="B86" s="43"/>
      <c r="C86" s="43">
        <f t="shared" ref="C86:V86" si="43">C26+C47+C62</f>
        <v>974959.98089645931</v>
      </c>
      <c r="D86" s="43">
        <f t="shared" si="43"/>
        <v>1369736.8845768077</v>
      </c>
      <c r="E86" s="43">
        <f t="shared" si="43"/>
        <v>1455781.0858094494</v>
      </c>
      <c r="F86" s="43">
        <f t="shared" si="43"/>
        <v>1383869.8262529557</v>
      </c>
      <c r="G86" s="43">
        <f t="shared" si="43"/>
        <v>1495124.5482859474</v>
      </c>
      <c r="H86" s="43">
        <f t="shared" si="43"/>
        <v>1612663.0067781233</v>
      </c>
      <c r="I86" s="43">
        <f t="shared" si="43"/>
        <v>1175934.6585022605</v>
      </c>
      <c r="J86" s="43">
        <f t="shared" si="43"/>
        <v>1413729.7077630644</v>
      </c>
      <c r="K86" s="43">
        <f t="shared" si="43"/>
        <v>1533090.1754562785</v>
      </c>
      <c r="L86" s="43">
        <f t="shared" si="43"/>
        <v>1585136.5451524407</v>
      </c>
      <c r="M86" s="43">
        <f t="shared" si="43"/>
        <v>1686332.4417582494</v>
      </c>
      <c r="N86" s="43">
        <f t="shared" si="43"/>
        <v>1720449.9889805538</v>
      </c>
      <c r="O86" s="43">
        <f t="shared" si="43"/>
        <v>1492027.2616737161</v>
      </c>
      <c r="P86" s="43">
        <f t="shared" si="43"/>
        <v>1515118.9963850786</v>
      </c>
      <c r="Q86" s="43">
        <f t="shared" si="43"/>
        <v>1206421.0206137332</v>
      </c>
      <c r="R86" s="43">
        <f t="shared" si="43"/>
        <v>1157144.5651962946</v>
      </c>
      <c r="S86" s="43">
        <f t="shared" si="43"/>
        <v>1173333.5021522301</v>
      </c>
      <c r="T86" s="43">
        <f t="shared" si="43"/>
        <v>1393143.8213278996</v>
      </c>
      <c r="U86" s="43">
        <f t="shared" si="43"/>
        <v>1077010.314656965</v>
      </c>
      <c r="V86" s="43">
        <f t="shared" si="43"/>
        <v>1092955.6911458988</v>
      </c>
      <c r="W86" s="14"/>
      <c r="Z86" s="9"/>
      <c r="AA86" s="2"/>
      <c r="AB86" s="2"/>
    </row>
    <row r="87" spans="1:43" ht="18" customHeight="1">
      <c r="A87" s="23" t="s">
        <v>108</v>
      </c>
      <c r="B87" s="43">
        <f t="shared" ref="B87:V87" si="44">B27+B49</f>
        <v>646146.09827628115</v>
      </c>
      <c r="C87" s="43">
        <f t="shared" si="44"/>
        <v>624804.37214660621</v>
      </c>
      <c r="D87" s="43">
        <f t="shared" si="44"/>
        <v>520719.83042900771</v>
      </c>
      <c r="E87" s="43">
        <f t="shared" si="44"/>
        <v>508120.92781777994</v>
      </c>
      <c r="F87" s="43">
        <f t="shared" si="44"/>
        <v>653795.05962497089</v>
      </c>
      <c r="G87" s="43">
        <f t="shared" si="44"/>
        <v>757818.84934672271</v>
      </c>
      <c r="H87" s="43">
        <f t="shared" si="44"/>
        <v>895580.37695971818</v>
      </c>
      <c r="I87" s="43">
        <f t="shared" si="44"/>
        <v>487609.7486433803</v>
      </c>
      <c r="J87" s="43">
        <f t="shared" si="44"/>
        <v>434338.18848929269</v>
      </c>
      <c r="K87" s="43">
        <f t="shared" si="44"/>
        <v>588798.55755113042</v>
      </c>
      <c r="L87" s="43">
        <f t="shared" si="44"/>
        <v>723599.13427046093</v>
      </c>
      <c r="M87" s="43">
        <f t="shared" si="44"/>
        <v>740531.61770915322</v>
      </c>
      <c r="N87" s="43">
        <f t="shared" si="44"/>
        <v>988866.47219323122</v>
      </c>
      <c r="O87" s="43">
        <f t="shared" si="44"/>
        <v>843770.59205763298</v>
      </c>
      <c r="P87" s="43">
        <f t="shared" si="44"/>
        <v>790799.07487139071</v>
      </c>
      <c r="Q87" s="43">
        <f t="shared" si="44"/>
        <v>642780.94967793417</v>
      </c>
      <c r="R87" s="43">
        <f t="shared" si="44"/>
        <v>619202.56219838513</v>
      </c>
      <c r="S87" s="43">
        <f t="shared" si="44"/>
        <v>763572.12689224153</v>
      </c>
      <c r="T87" s="43">
        <f t="shared" si="44"/>
        <v>711066.63029704848</v>
      </c>
      <c r="U87" s="43">
        <f t="shared" si="44"/>
        <v>579190.34544568392</v>
      </c>
      <c r="V87" s="43">
        <f t="shared" si="44"/>
        <v>601110.89011676388</v>
      </c>
      <c r="W87" s="14"/>
      <c r="Z87" s="9"/>
      <c r="AA87" s="2"/>
      <c r="AB87" s="2"/>
    </row>
    <row r="88" spans="1:43" ht="18" customHeight="1">
      <c r="A88" s="23" t="s">
        <v>106</v>
      </c>
      <c r="B88" s="2"/>
      <c r="C88" s="47"/>
      <c r="D88" s="43">
        <f>D87-D89</f>
        <v>136079.83042900771</v>
      </c>
      <c r="E88" s="43">
        <f t="shared" ref="E88:T88" si="45">E87-E89</f>
        <v>124888.92781777994</v>
      </c>
      <c r="F88" s="43">
        <f t="shared" si="45"/>
        <v>294755.05962497089</v>
      </c>
      <c r="G88" s="43">
        <f t="shared" si="45"/>
        <v>414458.84934672271</v>
      </c>
      <c r="H88" s="43">
        <f t="shared" si="45"/>
        <v>557980.37695971818</v>
      </c>
      <c r="I88" s="43">
        <f t="shared" si="45"/>
        <v>141689.7486433803</v>
      </c>
      <c r="J88" s="43">
        <f t="shared" si="45"/>
        <v>90978.18848929269</v>
      </c>
      <c r="K88" s="43">
        <f t="shared" si="45"/>
        <v>245438.55755113042</v>
      </c>
      <c r="L88" s="43">
        <f t="shared" si="45"/>
        <v>403471.13427046093</v>
      </c>
      <c r="M88" s="43">
        <f t="shared" si="45"/>
        <v>432115.11770915322</v>
      </c>
      <c r="N88" s="43">
        <f t="shared" si="45"/>
        <v>679599.47219323122</v>
      </c>
      <c r="O88" s="43">
        <f t="shared" si="45"/>
        <v>525551.59205763298</v>
      </c>
      <c r="P88" s="43">
        <f t="shared" si="45"/>
        <v>423909.07487139071</v>
      </c>
      <c r="Q88" s="43">
        <f t="shared" si="45"/>
        <v>291933.34967793419</v>
      </c>
      <c r="R88" s="43">
        <f t="shared" si="45"/>
        <v>250739.86219838506</v>
      </c>
      <c r="S88" s="43">
        <f t="shared" si="45"/>
        <v>366463.02689224156</v>
      </c>
      <c r="T88" s="43">
        <f t="shared" si="45"/>
        <v>347599.63029704848</v>
      </c>
      <c r="U88" s="43">
        <f>U87-U89</f>
        <v>268000.17144568393</v>
      </c>
      <c r="V88" s="43">
        <f>V87-V89</f>
        <v>292708.08811676386</v>
      </c>
      <c r="W88" s="14"/>
      <c r="Z88" s="9"/>
      <c r="AA88" s="2"/>
      <c r="AB88" s="2"/>
    </row>
    <row r="89" spans="1:43" ht="18" customHeight="1">
      <c r="A89" s="23" t="s">
        <v>107</v>
      </c>
      <c r="B89" s="2"/>
      <c r="C89" s="47"/>
      <c r="D89" s="43">
        <f>0.32*D76*1000</f>
        <v>384640</v>
      </c>
      <c r="E89" s="43">
        <f t="shared" ref="E89:L89" si="46">0.32*E76*1000</f>
        <v>383232</v>
      </c>
      <c r="F89" s="43">
        <f t="shared" si="46"/>
        <v>359040</v>
      </c>
      <c r="G89" s="43">
        <f t="shared" si="46"/>
        <v>343360</v>
      </c>
      <c r="H89" s="43">
        <f t="shared" si="46"/>
        <v>337600</v>
      </c>
      <c r="I89" s="43">
        <f t="shared" si="46"/>
        <v>345920</v>
      </c>
      <c r="J89" s="43">
        <f t="shared" si="46"/>
        <v>343360</v>
      </c>
      <c r="K89" s="43">
        <f t="shared" si="46"/>
        <v>343360</v>
      </c>
      <c r="L89" s="43">
        <f t="shared" si="46"/>
        <v>320128</v>
      </c>
      <c r="M89" s="43">
        <f>((0.32*M76*1000*0.75)+(0.3*M76*1000*0.25))</f>
        <v>308416.5</v>
      </c>
      <c r="N89" s="43">
        <f>((0.32*N76*1000*0.75)+(0.3*N76*1000*0.25))</f>
        <v>309267</v>
      </c>
      <c r="O89" s="43">
        <f>((0.34*O76*1000*0.75)+(0.3*O76*1000*0.25))</f>
        <v>318219</v>
      </c>
      <c r="P89" s="43">
        <f>(0.38*P76*1000)</f>
        <v>366890</v>
      </c>
      <c r="Q89" s="43">
        <f>(0.366*Q76*1000)</f>
        <v>350847.6</v>
      </c>
      <c r="R89" s="43">
        <f>(0.387*R76*1000)</f>
        <v>368462.70000000007</v>
      </c>
      <c r="S89" s="43">
        <f>(0.417*S76*1000)</f>
        <v>397109.1</v>
      </c>
      <c r="T89" s="43">
        <f>(0.383*T76*1000)</f>
        <v>363467</v>
      </c>
      <c r="U89" s="43">
        <f>(0.33183*U76*1000)</f>
        <v>311190.174</v>
      </c>
      <c r="V89" s="43">
        <f>(0.33183*V76*1000)</f>
        <v>308402.80200000003</v>
      </c>
      <c r="W89" s="14"/>
      <c r="Z89" s="9"/>
      <c r="AA89" s="2"/>
      <c r="AB89" s="2"/>
    </row>
    <row r="90" spans="1:43" ht="18" customHeight="1">
      <c r="A90" s="23" t="s">
        <v>13</v>
      </c>
      <c r="B90" s="2"/>
      <c r="C90" s="47"/>
      <c r="D90" s="43">
        <f t="shared" ref="D90:V90" si="47">D28+D50</f>
        <v>54661.197669343353</v>
      </c>
      <c r="E90" s="43">
        <f t="shared" si="47"/>
        <v>53338.660931148166</v>
      </c>
      <c r="F90" s="43">
        <f t="shared" si="47"/>
        <v>63287.560366904014</v>
      </c>
      <c r="G90" s="43">
        <f t="shared" si="47"/>
        <v>66235.366612786311</v>
      </c>
      <c r="H90" s="43">
        <f t="shared" si="47"/>
        <v>67811.555495580513</v>
      </c>
      <c r="I90" s="43">
        <f t="shared" si="47"/>
        <v>32563.209413512734</v>
      </c>
      <c r="J90" s="43">
        <f t="shared" si="47"/>
        <v>35215.946172159995</v>
      </c>
      <c r="K90" s="43">
        <f t="shared" si="47"/>
        <v>50986.809956357029</v>
      </c>
      <c r="L90" s="43">
        <f t="shared" si="47"/>
        <v>48428.181635471796</v>
      </c>
      <c r="M90" s="43">
        <f t="shared" si="47"/>
        <v>51114.031497158277</v>
      </c>
      <c r="N90" s="43">
        <f t="shared" si="47"/>
        <v>69743.060343269768</v>
      </c>
      <c r="O90" s="43">
        <f t="shared" si="47"/>
        <v>57330.413220734117</v>
      </c>
      <c r="P90" s="43">
        <f t="shared" si="47"/>
        <v>59248.129867722848</v>
      </c>
      <c r="Q90" s="43">
        <f t="shared" si="47"/>
        <v>50976.338312176624</v>
      </c>
      <c r="R90" s="43">
        <f t="shared" si="47"/>
        <v>42187.505245383938</v>
      </c>
      <c r="S90" s="43">
        <f t="shared" si="47"/>
        <v>47649.187505076014</v>
      </c>
      <c r="T90" s="43">
        <f t="shared" si="47"/>
        <v>51377.1333594237</v>
      </c>
      <c r="U90" s="43">
        <f t="shared" si="47"/>
        <v>44135.300090208075</v>
      </c>
      <c r="V90" s="43">
        <f t="shared" si="47"/>
        <v>42953.898474946029</v>
      </c>
      <c r="W90" s="14"/>
      <c r="Z90" s="9"/>
      <c r="AA90" s="2"/>
      <c r="AB90" s="2"/>
    </row>
    <row r="91" spans="1:43" ht="18" customHeight="1">
      <c r="A91" s="90" t="s">
        <v>109</v>
      </c>
      <c r="B91" s="2"/>
      <c r="C91" s="47"/>
      <c r="D91" s="113">
        <f>D84+D86+D87+D90</f>
        <v>3785675.5912675159</v>
      </c>
      <c r="E91" s="113">
        <f t="shared" ref="E91:V91" si="48">E84+E86+E87+E90</f>
        <v>3874737.4674558379</v>
      </c>
      <c r="F91" s="113">
        <f t="shared" si="48"/>
        <v>4069129.6446244833</v>
      </c>
      <c r="G91" s="113">
        <f t="shared" si="48"/>
        <v>4331745.476424545</v>
      </c>
      <c r="H91" s="113">
        <f t="shared" si="48"/>
        <v>4706431.4939233428</v>
      </c>
      <c r="I91" s="113">
        <f t="shared" si="48"/>
        <v>3367875.7268410739</v>
      </c>
      <c r="J91" s="113">
        <f t="shared" si="48"/>
        <v>3708672.0842424519</v>
      </c>
      <c r="K91" s="113">
        <f t="shared" si="48"/>
        <v>4249482.854296376</v>
      </c>
      <c r="L91" s="113">
        <f t="shared" si="48"/>
        <v>4340997.0861058375</v>
      </c>
      <c r="M91" s="113">
        <f t="shared" si="48"/>
        <v>4575905.9090964561</v>
      </c>
      <c r="N91" s="113">
        <f t="shared" si="48"/>
        <v>4776553.2521517053</v>
      </c>
      <c r="O91" s="113">
        <f t="shared" si="48"/>
        <v>4199950.0266952086</v>
      </c>
      <c r="P91" s="113">
        <f t="shared" si="48"/>
        <v>4244518.1201124191</v>
      </c>
      <c r="Q91" s="113">
        <f t="shared" si="48"/>
        <v>3548051.9308603839</v>
      </c>
      <c r="R91" s="113">
        <f t="shared" si="48"/>
        <v>3409944.6632640064</v>
      </c>
      <c r="S91" s="113">
        <f t="shared" si="48"/>
        <v>3599223.381654955</v>
      </c>
      <c r="T91" s="113">
        <f t="shared" si="48"/>
        <v>3854669.1584984371</v>
      </c>
      <c r="U91" s="113">
        <f t="shared" si="48"/>
        <v>3297484.0960192862</v>
      </c>
      <c r="V91" s="113">
        <f t="shared" si="48"/>
        <v>3359685.8479737611</v>
      </c>
      <c r="W91" s="14"/>
      <c r="Z91" s="9"/>
      <c r="AA91" s="2"/>
      <c r="AB91" s="2"/>
    </row>
    <row r="92" spans="1:43" ht="18" customHeight="1">
      <c r="A92" s="90" t="s">
        <v>49</v>
      </c>
      <c r="B92" s="2"/>
      <c r="C92" s="47"/>
      <c r="D92" s="249">
        <f t="shared" ref="D92:O92" si="49">D88/(D74*1000)</f>
        <v>2.9575499430355288E-2</v>
      </c>
      <c r="E92" s="249">
        <f t="shared" si="49"/>
        <v>2.7051557999822371E-2</v>
      </c>
      <c r="F92" s="249">
        <f t="shared" si="49"/>
        <v>6.2572721017486288E-2</v>
      </c>
      <c r="G92" s="249">
        <f t="shared" si="49"/>
        <v>8.6358187516246687E-2</v>
      </c>
      <c r="H92" s="249">
        <f t="shared" si="49"/>
        <v>0.11572514869746935</v>
      </c>
      <c r="I92" s="249">
        <f t="shared" si="49"/>
        <v>2.877416608654813E-2</v>
      </c>
      <c r="J92" s="249">
        <f t="shared" si="49"/>
        <v>1.7054040243929872E-2</v>
      </c>
      <c r="K92" s="249">
        <f t="shared" si="49"/>
        <v>4.5148919751136898E-2</v>
      </c>
      <c r="L92" s="249">
        <f t="shared" si="49"/>
        <v>7.8122436252654789E-2</v>
      </c>
      <c r="M92" s="249">
        <f t="shared" si="49"/>
        <v>8.5904162400929032E-2</v>
      </c>
      <c r="N92" s="249">
        <f t="shared" si="49"/>
        <v>0.14255138486244728</v>
      </c>
      <c r="O92" s="249">
        <f t="shared" si="49"/>
        <v>0.12013156991351216</v>
      </c>
      <c r="P92" s="249">
        <f t="shared" ref="P92:U92" si="50">P88/(P74*1000)</f>
        <v>0.10349342648227312</v>
      </c>
      <c r="Q92" s="249">
        <f t="shared" si="50"/>
        <v>7.401585864761781E-2</v>
      </c>
      <c r="R92" s="249">
        <f t="shared" si="50"/>
        <v>6.3391783940533214E-2</v>
      </c>
      <c r="S92" s="249">
        <f t="shared" si="50"/>
        <v>9.2482782811922154E-2</v>
      </c>
      <c r="T92" s="249">
        <f t="shared" si="50"/>
        <v>8.8524329011625449E-2</v>
      </c>
      <c r="U92" s="249">
        <f t="shared" si="50"/>
        <v>7.0535641912273697E-2</v>
      </c>
      <c r="V92" s="249">
        <f>V88/(V74*1000)</f>
        <v>7.6798050090980702E-2</v>
      </c>
      <c r="W92" s="70"/>
      <c r="Y92" s="67"/>
      <c r="Z92" s="9"/>
      <c r="AA92" s="2"/>
      <c r="AB92" s="2"/>
    </row>
    <row r="93" spans="1:43" ht="18" customHeight="1">
      <c r="A93" s="90" t="s">
        <v>83</v>
      </c>
      <c r="B93" s="2"/>
      <c r="C93" s="2"/>
      <c r="D93" s="250">
        <f t="shared" ref="D93:U93" si="51">D89/(D76*1000)</f>
        <v>0.32</v>
      </c>
      <c r="E93" s="250">
        <f t="shared" si="51"/>
        <v>0.32</v>
      </c>
      <c r="F93" s="250">
        <f t="shared" si="51"/>
        <v>0.32</v>
      </c>
      <c r="G93" s="250">
        <f t="shared" si="51"/>
        <v>0.32</v>
      </c>
      <c r="H93" s="250">
        <f t="shared" si="51"/>
        <v>0.32</v>
      </c>
      <c r="I93" s="250">
        <f t="shared" si="51"/>
        <v>0.32</v>
      </c>
      <c r="J93" s="250">
        <f t="shared" si="51"/>
        <v>0.32</v>
      </c>
      <c r="K93" s="250">
        <f t="shared" si="51"/>
        <v>0.32</v>
      </c>
      <c r="L93" s="250">
        <f t="shared" si="51"/>
        <v>0.32</v>
      </c>
      <c r="M93" s="250">
        <f t="shared" si="51"/>
        <v>0.315</v>
      </c>
      <c r="N93" s="250">
        <f t="shared" si="51"/>
        <v>0.315</v>
      </c>
      <c r="O93" s="250">
        <f t="shared" si="51"/>
        <v>0.33</v>
      </c>
      <c r="P93" s="250">
        <f t="shared" si="51"/>
        <v>0.38</v>
      </c>
      <c r="Q93" s="250">
        <f t="shared" si="51"/>
        <v>0.36599999999999999</v>
      </c>
      <c r="R93" s="250">
        <f t="shared" si="51"/>
        <v>0.38700000000000007</v>
      </c>
      <c r="S93" s="250">
        <f t="shared" si="51"/>
        <v>0.41699999999999998</v>
      </c>
      <c r="T93" s="250">
        <f t="shared" si="51"/>
        <v>0.38300000000000001</v>
      </c>
      <c r="U93" s="250">
        <f t="shared" si="51"/>
        <v>0.33183000000000001</v>
      </c>
      <c r="V93" s="250">
        <f>V89/(V76*1000)</f>
        <v>0.33183000000000001</v>
      </c>
      <c r="W93" s="1"/>
      <c r="Z93" s="9"/>
      <c r="AA93" s="2"/>
      <c r="AB93" s="2"/>
    </row>
    <row r="94" spans="1:43" ht="18" customHeight="1">
      <c r="C94" s="66"/>
      <c r="D94" s="233"/>
      <c r="E94" s="233"/>
      <c r="F94" s="233"/>
      <c r="G94" s="233"/>
      <c r="H94" s="233"/>
      <c r="I94" s="10"/>
      <c r="J94" s="10"/>
      <c r="K94" s="10"/>
      <c r="L94" s="10"/>
      <c r="M94" s="10"/>
      <c r="N94" s="9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 t="s">
        <v>14</v>
      </c>
      <c r="Z94" s="23" t="s">
        <v>58</v>
      </c>
      <c r="AF94" s="15"/>
      <c r="AK94" s="15"/>
      <c r="AO94" s="15"/>
    </row>
    <row r="95" spans="1:43" ht="61.5" customHeight="1">
      <c r="A95" s="114" t="s">
        <v>151</v>
      </c>
      <c r="D95" s="87">
        <f>D7</f>
        <v>1998</v>
      </c>
      <c r="E95" s="87">
        <f t="shared" ref="E95:V95" si="52">E7</f>
        <v>1999</v>
      </c>
      <c r="F95" s="87">
        <f t="shared" si="52"/>
        <v>2000</v>
      </c>
      <c r="G95" s="87">
        <f t="shared" si="52"/>
        <v>2001</v>
      </c>
      <c r="H95" s="87">
        <f t="shared" si="52"/>
        <v>2002</v>
      </c>
      <c r="I95" s="87">
        <f t="shared" si="52"/>
        <v>2003</v>
      </c>
      <c r="J95" s="87">
        <f t="shared" si="52"/>
        <v>2004</v>
      </c>
      <c r="K95" s="87">
        <f t="shared" si="52"/>
        <v>2005</v>
      </c>
      <c r="L95" s="87">
        <f t="shared" si="52"/>
        <v>2006</v>
      </c>
      <c r="M95" s="87">
        <f t="shared" si="52"/>
        <v>2007</v>
      </c>
      <c r="N95" s="87">
        <f t="shared" si="52"/>
        <v>2008</v>
      </c>
      <c r="O95" s="87">
        <f t="shared" si="52"/>
        <v>2009</v>
      </c>
      <c r="P95" s="87">
        <f t="shared" si="52"/>
        <v>2010</v>
      </c>
      <c r="Q95" s="87">
        <f t="shared" si="52"/>
        <v>2011</v>
      </c>
      <c r="R95" s="87">
        <f t="shared" si="52"/>
        <v>2012</v>
      </c>
      <c r="S95" s="87">
        <f t="shared" si="52"/>
        <v>2013</v>
      </c>
      <c r="T95" s="87">
        <f t="shared" si="52"/>
        <v>2014</v>
      </c>
      <c r="U95" s="87">
        <f t="shared" si="52"/>
        <v>2015</v>
      </c>
      <c r="V95" s="87">
        <f t="shared" si="52"/>
        <v>2016</v>
      </c>
      <c r="W95" s="3"/>
      <c r="X95" s="3"/>
      <c r="Y95" s="23" t="s">
        <v>48</v>
      </c>
      <c r="Z95" s="15" t="s">
        <v>8</v>
      </c>
      <c r="AA95" s="15" t="s">
        <v>7</v>
      </c>
      <c r="AB95" s="15" t="s">
        <v>2</v>
      </c>
      <c r="AC95" s="15" t="s">
        <v>3</v>
      </c>
      <c r="AD95" s="15"/>
      <c r="AE95" s="15"/>
      <c r="AF95" s="15"/>
      <c r="AG95" s="15"/>
      <c r="AH95" s="15"/>
      <c r="AJ95" s="15"/>
      <c r="AK95" s="15"/>
      <c r="AL95" s="15"/>
      <c r="AM95" s="15"/>
      <c r="AN95" s="15"/>
      <c r="AO95" s="15"/>
      <c r="AP95" s="15"/>
      <c r="AQ95" s="15"/>
    </row>
    <row r="96" spans="1:43" ht="18" customHeight="1">
      <c r="A96" s="23" t="s">
        <v>22</v>
      </c>
      <c r="B96" s="9"/>
      <c r="C96" s="9"/>
      <c r="D96" s="47">
        <f>(D83/D78)/10</f>
        <v>34.57447738510924</v>
      </c>
      <c r="E96" s="47">
        <f t="shared" ref="E96:T96" si="53">(E83/E78)/10</f>
        <v>35.362918847557509</v>
      </c>
      <c r="F96" s="47">
        <f t="shared" si="53"/>
        <v>37.635735523452809</v>
      </c>
      <c r="G96" s="47">
        <f t="shared" si="53"/>
        <v>38.379161151055371</v>
      </c>
      <c r="H96" s="47">
        <f t="shared" si="53"/>
        <v>40.399465195952175</v>
      </c>
      <c r="I96" s="47">
        <f t="shared" si="53"/>
        <v>31.616389733958272</v>
      </c>
      <c r="J96" s="47">
        <f t="shared" si="53"/>
        <v>34.0145918548398</v>
      </c>
      <c r="K96" s="47">
        <f t="shared" si="53"/>
        <v>36.771114277754279</v>
      </c>
      <c r="L96" s="47">
        <f t="shared" si="53"/>
        <v>34.038906017825497</v>
      </c>
      <c r="M96" s="47">
        <f t="shared" si="53"/>
        <v>37.126685993238588</v>
      </c>
      <c r="N96" s="47">
        <f t="shared" si="53"/>
        <v>36.62026558538463</v>
      </c>
      <c r="O96" s="47">
        <f t="shared" si="53"/>
        <v>34.405627749627413</v>
      </c>
      <c r="P96" s="47">
        <f t="shared" si="53"/>
        <v>38.144019643236248</v>
      </c>
      <c r="Q96" s="47">
        <f t="shared" si="53"/>
        <v>35.531385940216197</v>
      </c>
      <c r="R96" s="47">
        <f t="shared" si="53"/>
        <v>35.684608409274603</v>
      </c>
      <c r="S96" s="47">
        <f t="shared" si="53"/>
        <v>36.569401423668531</v>
      </c>
      <c r="T96" s="47">
        <f t="shared" si="53"/>
        <v>38.430744112503014</v>
      </c>
      <c r="U96" s="47">
        <f>(U83/T78)/10</f>
        <v>36.125158600102125</v>
      </c>
      <c r="V96" s="47">
        <f>(V83/U78)/10</f>
        <v>36.881420536994938</v>
      </c>
      <c r="W96" s="2"/>
      <c r="X96" s="9"/>
      <c r="Y96" s="23" t="s">
        <v>22</v>
      </c>
      <c r="Z96" s="51">
        <f>AVERAGE(F96:V96)</f>
        <v>36.374981279357911</v>
      </c>
      <c r="AA96" s="51">
        <f t="shared" ref="AA96:AA101" si="54">STDEV(D96:T96)</f>
        <v>2.127642266125827</v>
      </c>
      <c r="AB96" s="51">
        <f>MIN(F96:V96)</f>
        <v>31.616389733958272</v>
      </c>
      <c r="AC96" s="51">
        <f>MAX(F96:V96)</f>
        <v>40.399465195952175</v>
      </c>
      <c r="AD96" s="18"/>
      <c r="AE96" s="15"/>
      <c r="AF96" s="14"/>
      <c r="AG96" s="14"/>
      <c r="AH96" s="14"/>
      <c r="AJ96" s="15"/>
      <c r="AK96" s="14"/>
      <c r="AL96" s="14"/>
      <c r="AM96" s="14"/>
      <c r="AN96" s="15"/>
      <c r="AO96" s="14"/>
      <c r="AP96" s="14"/>
      <c r="AQ96" s="14"/>
    </row>
    <row r="97" spans="1:125" ht="18" customHeight="1">
      <c r="A97" s="22" t="s">
        <v>33</v>
      </c>
      <c r="B97" s="1"/>
      <c r="C97" s="1"/>
      <c r="D97" s="48">
        <f>(D84)/(D75*10)</f>
        <v>39.175521666063389</v>
      </c>
      <c r="E97" s="48">
        <f t="shared" ref="E97:T97" si="55">(E84)/(E75*10)</f>
        <v>40.119509754888483</v>
      </c>
      <c r="F97" s="48">
        <f t="shared" si="55"/>
        <v>42.679280172481043</v>
      </c>
      <c r="G97" s="48">
        <f t="shared" si="55"/>
        <v>43.007118583931806</v>
      </c>
      <c r="H97" s="48">
        <f t="shared" si="55"/>
        <v>44.661710750394185</v>
      </c>
      <c r="I97" s="48">
        <f t="shared" si="55"/>
        <v>34.725476150486031</v>
      </c>
      <c r="J97" s="48">
        <f t="shared" si="55"/>
        <v>37.326392342660995</v>
      </c>
      <c r="K97" s="48">
        <f t="shared" si="55"/>
        <v>39.94063186858471</v>
      </c>
      <c r="L97" s="48">
        <f t="shared" si="55"/>
        <v>36.719258687036657</v>
      </c>
      <c r="M97" s="48">
        <f t="shared" si="55"/>
        <v>39.928374218475</v>
      </c>
      <c r="N97" s="48">
        <f t="shared" si="55"/>
        <v>39.362957176015748</v>
      </c>
      <c r="O97" s="48">
        <f t="shared" si="55"/>
        <v>37.222406344442895</v>
      </c>
      <c r="P97" s="48">
        <f t="shared" si="55"/>
        <v>41.722969599401885</v>
      </c>
      <c r="Q97" s="48">
        <f t="shared" si="55"/>
        <v>39.347470113603997</v>
      </c>
      <c r="R97" s="48">
        <f t="shared" si="55"/>
        <v>39.842085500565126</v>
      </c>
      <c r="S97" s="48">
        <f t="shared" si="55"/>
        <v>40.860058473645971</v>
      </c>
      <c r="T97" s="48">
        <f t="shared" si="55"/>
        <v>42.90439933351292</v>
      </c>
      <c r="U97" s="48">
        <f>(U84)/(U75*10)</f>
        <v>40.552739082852419</v>
      </c>
      <c r="V97" s="48">
        <f>(V84)/(V75*10)</f>
        <v>42.241037241373938</v>
      </c>
      <c r="W97" s="2"/>
      <c r="X97" s="1"/>
      <c r="Y97" s="22" t="s">
        <v>33</v>
      </c>
      <c r="Z97" s="51">
        <f>AVERAGE(F97:V97)</f>
        <v>40.179080331733253</v>
      </c>
      <c r="AA97" s="51">
        <f t="shared" si="54"/>
        <v>2.5628462530425198</v>
      </c>
      <c r="AB97" s="51">
        <f>MIN(F97:V97)</f>
        <v>34.725476150486031</v>
      </c>
      <c r="AC97" s="51">
        <f>MAX(F97:V97)</f>
        <v>44.661710750394185</v>
      </c>
      <c r="AD97" s="18"/>
      <c r="AE97" s="71"/>
      <c r="AF97" s="14"/>
      <c r="AG97" s="14"/>
      <c r="AH97" s="14"/>
      <c r="AI97" s="9"/>
      <c r="AJ97" s="71"/>
      <c r="AK97" s="14"/>
      <c r="AL97" s="14"/>
      <c r="AM97" s="14"/>
      <c r="AN97" s="9"/>
      <c r="AO97" s="14"/>
      <c r="AP97" s="14"/>
      <c r="AQ97" s="14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9"/>
      <c r="BS97" s="9"/>
      <c r="BT97" s="9"/>
      <c r="BU97" s="9"/>
      <c r="BV97" s="9"/>
      <c r="BW97" s="9"/>
      <c r="BX97" s="9"/>
      <c r="BY97" s="9"/>
      <c r="BZ97" s="9"/>
      <c r="CA97" s="9"/>
      <c r="CB97" s="9"/>
      <c r="CC97" s="9"/>
      <c r="CD97" s="9"/>
      <c r="CE97" s="9"/>
      <c r="CF97" s="9"/>
      <c r="CG97" s="9"/>
      <c r="CH97" s="9"/>
      <c r="CI97" s="9"/>
      <c r="CJ97" s="9"/>
      <c r="CK97" s="9"/>
      <c r="CL97" s="9"/>
      <c r="CM97" s="9"/>
      <c r="CN97" s="9"/>
      <c r="CO97" s="9"/>
      <c r="CP97" s="9"/>
      <c r="CQ97" s="9"/>
      <c r="CR97" s="9"/>
      <c r="CS97" s="9"/>
      <c r="CT97" s="9"/>
      <c r="CU97" s="9"/>
      <c r="CV97" s="9"/>
      <c r="CW97" s="9"/>
      <c r="CX97" s="9"/>
      <c r="CY97" s="9"/>
      <c r="CZ97" s="9"/>
      <c r="DA97" s="9"/>
      <c r="DB97" s="9"/>
      <c r="DC97" s="9"/>
      <c r="DD97" s="9"/>
      <c r="DE97" s="9"/>
      <c r="DF97" s="9"/>
      <c r="DG97" s="9"/>
      <c r="DH97" s="9"/>
      <c r="DI97" s="9"/>
      <c r="DJ97" s="9"/>
      <c r="DK97" s="9"/>
      <c r="DL97" s="9"/>
      <c r="DM97" s="2"/>
      <c r="DO97" s="18"/>
      <c r="DP97" s="18"/>
      <c r="DQ97" s="18"/>
      <c r="DR97" s="18"/>
      <c r="DS97" s="18"/>
      <c r="DT97" s="15"/>
      <c r="DU97" s="1"/>
    </row>
    <row r="98" spans="1:125" ht="18" customHeight="1">
      <c r="A98" s="23" t="s">
        <v>41</v>
      </c>
      <c r="B98" s="9"/>
      <c r="C98" s="9"/>
      <c r="D98" s="47">
        <f>(D86/D75)/10</f>
        <v>29.154292540065217</v>
      </c>
      <c r="E98" s="47">
        <f t="shared" ref="E98:T98" si="56">(E86/E75)/10</f>
        <v>31.442974058657505</v>
      </c>
      <c r="F98" s="47">
        <f t="shared" si="56"/>
        <v>30.008765514363837</v>
      </c>
      <c r="G98" s="47">
        <f t="shared" si="56"/>
        <v>31.949747730975776</v>
      </c>
      <c r="H98" s="47">
        <f t="shared" si="56"/>
        <v>33.80824323663699</v>
      </c>
      <c r="I98" s="47">
        <f t="shared" si="56"/>
        <v>24.426169327673048</v>
      </c>
      <c r="J98" s="47">
        <f t="shared" si="56"/>
        <v>28.908606141719009</v>
      </c>
      <c r="K98" s="47">
        <f t="shared" si="56"/>
        <v>29.486841342164343</v>
      </c>
      <c r="L98" s="47">
        <f t="shared" si="56"/>
        <v>29.339683457683527</v>
      </c>
      <c r="M98" s="47">
        <f t="shared" si="56"/>
        <v>32.094770949381129</v>
      </c>
      <c r="N98" s="47">
        <f t="shared" si="56"/>
        <v>33.903485253093358</v>
      </c>
      <c r="O98" s="47">
        <f t="shared" si="56"/>
        <v>30.737312472316653</v>
      </c>
      <c r="P98" s="47">
        <f t="shared" si="56"/>
        <v>33.636735720941331</v>
      </c>
      <c r="Q98" s="47">
        <f t="shared" si="56"/>
        <v>28.806587114380335</v>
      </c>
      <c r="R98" s="47">
        <f t="shared" si="56"/>
        <v>28.969939748959256</v>
      </c>
      <c r="S98" s="47">
        <f t="shared" si="56"/>
        <v>29.691836791222975</v>
      </c>
      <c r="T98" s="47">
        <f t="shared" si="56"/>
        <v>35.179004805312005</v>
      </c>
      <c r="U98" s="47">
        <f>(U86/U75)/10</f>
        <v>27.346065966025822</v>
      </c>
      <c r="V98" s="47">
        <f>(V86/V75)/10</f>
        <v>28.451696176304029</v>
      </c>
      <c r="W98" s="2"/>
      <c r="X98" s="9"/>
      <c r="Y98" s="23" t="s">
        <v>41</v>
      </c>
      <c r="Z98" s="51">
        <f>AVERAGE(L98:V98)</f>
        <v>30.741556223238227</v>
      </c>
      <c r="AA98" s="51">
        <f t="shared" si="54"/>
        <v>2.6102733098093109</v>
      </c>
      <c r="AB98" s="51">
        <f>MIN(L98:T98)</f>
        <v>28.806587114380335</v>
      </c>
      <c r="AC98" s="51">
        <f>MAX(L98:V98)</f>
        <v>35.179004805312005</v>
      </c>
      <c r="AD98" s="18"/>
      <c r="AE98" s="15"/>
      <c r="AF98" s="14"/>
      <c r="AG98" s="14"/>
      <c r="AH98" s="14"/>
      <c r="AJ98" s="15"/>
      <c r="AK98" s="14"/>
      <c r="AL98" s="14"/>
      <c r="AM98" s="14"/>
      <c r="AN98" s="15"/>
      <c r="AO98" s="14"/>
      <c r="AP98" s="14"/>
      <c r="AQ98" s="14"/>
    </row>
    <row r="99" spans="1:125" ht="18" customHeight="1">
      <c r="A99" s="23" t="s">
        <v>32</v>
      </c>
      <c r="B99" s="9"/>
      <c r="C99" s="9"/>
      <c r="D99" s="47">
        <f t="shared" ref="D99:S99" si="57">(D88/D74)/10</f>
        <v>2.9575499430355281</v>
      </c>
      <c r="E99" s="47">
        <f t="shared" si="57"/>
        <v>2.7051557999822373</v>
      </c>
      <c r="F99" s="47">
        <f t="shared" si="57"/>
        <v>6.2572721017486277</v>
      </c>
      <c r="G99" s="47">
        <f t="shared" si="57"/>
        <v>8.6358187516246687</v>
      </c>
      <c r="H99" s="47">
        <f t="shared" si="57"/>
        <v>11.572514869746934</v>
      </c>
      <c r="I99" s="47">
        <f t="shared" si="57"/>
        <v>2.877416608654813</v>
      </c>
      <c r="J99" s="47">
        <f t="shared" si="57"/>
        <v>1.7054040243929873</v>
      </c>
      <c r="K99" s="47">
        <f t="shared" si="57"/>
        <v>4.5148919751136898</v>
      </c>
      <c r="L99" s="47">
        <f t="shared" si="57"/>
        <v>7.8122436252654781</v>
      </c>
      <c r="M99" s="47">
        <f t="shared" si="57"/>
        <v>8.5904162400929032</v>
      </c>
      <c r="N99" s="47">
        <f t="shared" si="57"/>
        <v>14.255138486244729</v>
      </c>
      <c r="O99" s="47">
        <f t="shared" si="57"/>
        <v>12.013156991351215</v>
      </c>
      <c r="P99" s="47">
        <f t="shared" si="57"/>
        <v>10.349342648227312</v>
      </c>
      <c r="Q99" s="47">
        <f t="shared" si="57"/>
        <v>7.401585864761782</v>
      </c>
      <c r="R99" s="47">
        <f t="shared" si="57"/>
        <v>6.3391783940533211</v>
      </c>
      <c r="S99" s="47">
        <f t="shared" si="57"/>
        <v>9.2482782811922171</v>
      </c>
      <c r="T99" s="47">
        <f>(T88/T74)/10</f>
        <v>8.8524329011625458</v>
      </c>
      <c r="U99" s="47">
        <f>(U88/U74)/10</f>
        <v>7.0535641912273706</v>
      </c>
      <c r="V99" s="47">
        <f>(V88/V74)/10</f>
        <v>7.6798050090980707</v>
      </c>
      <c r="W99" s="2"/>
      <c r="X99" s="9"/>
      <c r="Y99" s="23" t="s">
        <v>45</v>
      </c>
      <c r="Z99" s="51">
        <f>AVERAGE(F99:V99)</f>
        <v>7.9504977037622737</v>
      </c>
      <c r="AA99" s="51">
        <v>1.75</v>
      </c>
      <c r="AB99" s="51">
        <v>4.0999999999999996</v>
      </c>
      <c r="AC99" s="51">
        <f>MAX(F99:V99)</f>
        <v>14.255138486244729</v>
      </c>
      <c r="AD99" s="18"/>
      <c r="AE99" s="15"/>
      <c r="AF99" s="14"/>
      <c r="AG99" s="14"/>
      <c r="AH99" s="14"/>
      <c r="AJ99" s="15"/>
      <c r="AK99" s="14"/>
      <c r="AL99" s="14"/>
      <c r="AM99" s="14"/>
      <c r="AN99" s="15"/>
      <c r="AO99" s="14"/>
      <c r="AP99" s="14"/>
      <c r="AQ99" s="14"/>
    </row>
    <row r="100" spans="1:125" ht="18" customHeight="1">
      <c r="A100" s="21" t="s">
        <v>42</v>
      </c>
      <c r="B100" s="9"/>
      <c r="C100" s="9"/>
      <c r="D100" s="49">
        <f>(D90*0.9)/(D75*10)</f>
        <v>1.0470972263707814</v>
      </c>
      <c r="E100" s="49">
        <f t="shared" ref="E100:T100" si="58">(E90*0.9)/(E75*10)</f>
        <v>1.0368410013681337</v>
      </c>
      <c r="F100" s="49">
        <f t="shared" si="58"/>
        <v>1.2351330816656436</v>
      </c>
      <c r="G100" s="49">
        <f t="shared" si="58"/>
        <v>1.2738623888665084</v>
      </c>
      <c r="H100" s="49">
        <f t="shared" si="58"/>
        <v>1.2794555325768975</v>
      </c>
      <c r="I100" s="49">
        <f t="shared" si="58"/>
        <v>0.60875407924450509</v>
      </c>
      <c r="J100" s="49">
        <f t="shared" si="58"/>
        <v>0.64810092126366603</v>
      </c>
      <c r="K100" s="49">
        <f t="shared" si="58"/>
        <v>0.8825938616108201</v>
      </c>
      <c r="L100" s="49">
        <f t="shared" si="58"/>
        <v>0.80673224749314676</v>
      </c>
      <c r="M100" s="49">
        <f t="shared" si="58"/>
        <v>0.87553544207526657</v>
      </c>
      <c r="N100" s="49">
        <f t="shared" si="58"/>
        <v>1.236931936236791</v>
      </c>
      <c r="O100" s="49">
        <f t="shared" si="58"/>
        <v>1.0629594937966296</v>
      </c>
      <c r="P100" s="49">
        <f t="shared" si="58"/>
        <v>1.1838161371931486</v>
      </c>
      <c r="Q100" s="49">
        <f t="shared" si="58"/>
        <v>1.0954790033858361</v>
      </c>
      <c r="R100" s="49">
        <f t="shared" si="58"/>
        <v>0.9505748630632983</v>
      </c>
      <c r="S100" s="49">
        <f t="shared" si="58"/>
        <v>1.0852095388361174</v>
      </c>
      <c r="T100" s="49">
        <f t="shared" si="58"/>
        <v>1.1676158299653607</v>
      </c>
      <c r="U100" s="49">
        <f>(U90*0.9)/(U75*10)</f>
        <v>1.0085642914881747</v>
      </c>
      <c r="V100" s="49">
        <f>(V90*0.9)/(V75*10)</f>
        <v>1.0063538266076426</v>
      </c>
      <c r="W100" s="2"/>
      <c r="X100" s="9"/>
      <c r="Y100" s="21" t="s">
        <v>42</v>
      </c>
      <c r="Z100" s="51">
        <f>AVERAGE(F100:V100)</f>
        <v>1.0239807338452618</v>
      </c>
      <c r="AA100" s="51">
        <f t="shared" si="54"/>
        <v>0.20659900419050933</v>
      </c>
      <c r="AB100" s="51">
        <f>MIN(F100:T100)</f>
        <v>0.60875407924450509</v>
      </c>
      <c r="AC100" s="51">
        <f>MAX(F100:V100)</f>
        <v>1.2794555325768975</v>
      </c>
      <c r="AD100" s="18"/>
      <c r="AE100" s="15"/>
      <c r="AF100" s="14"/>
      <c r="AG100" s="14"/>
      <c r="AH100" s="14"/>
      <c r="AJ100" s="15"/>
      <c r="AK100" s="14"/>
      <c r="AL100" s="14"/>
      <c r="AM100" s="14"/>
      <c r="AN100" s="15"/>
      <c r="AO100" s="14"/>
      <c r="AP100" s="14"/>
      <c r="AQ100" s="14"/>
    </row>
    <row r="101" spans="1:125" ht="18" customHeight="1">
      <c r="A101" s="115" t="s">
        <v>110</v>
      </c>
      <c r="B101" s="116"/>
      <c r="C101" s="116"/>
      <c r="D101" s="105">
        <f t="shared" ref="D101:T101" si="59">SUM(D97:D100)</f>
        <v>72.334461375534914</v>
      </c>
      <c r="E101" s="105">
        <f t="shared" si="59"/>
        <v>75.304480614896349</v>
      </c>
      <c r="F101" s="105">
        <f t="shared" si="59"/>
        <v>80.180450870259136</v>
      </c>
      <c r="G101" s="105">
        <f t="shared" si="59"/>
        <v>84.866547455398759</v>
      </c>
      <c r="H101" s="105">
        <f t="shared" si="59"/>
        <v>91.321924389355019</v>
      </c>
      <c r="I101" s="105">
        <f t="shared" si="59"/>
        <v>62.6378161660584</v>
      </c>
      <c r="J101" s="105">
        <f t="shared" si="59"/>
        <v>68.588503430036653</v>
      </c>
      <c r="K101" s="105">
        <f t="shared" si="59"/>
        <v>74.824959047473556</v>
      </c>
      <c r="L101" s="105">
        <f t="shared" si="59"/>
        <v>74.677918017478817</v>
      </c>
      <c r="M101" s="105">
        <f t="shared" si="59"/>
        <v>81.489096850024296</v>
      </c>
      <c r="N101" s="105">
        <f t="shared" si="59"/>
        <v>88.758512851590623</v>
      </c>
      <c r="O101" s="105">
        <f t="shared" si="59"/>
        <v>81.035835301907383</v>
      </c>
      <c r="P101" s="105">
        <f t="shared" si="59"/>
        <v>86.892864105763664</v>
      </c>
      <c r="Q101" s="105">
        <f t="shared" si="59"/>
        <v>76.651122096131957</v>
      </c>
      <c r="R101" s="105">
        <f t="shared" si="59"/>
        <v>76.101778506640997</v>
      </c>
      <c r="S101" s="105">
        <f t="shared" si="59"/>
        <v>80.885383084897271</v>
      </c>
      <c r="T101" s="105">
        <f t="shared" si="59"/>
        <v>88.103452869952832</v>
      </c>
      <c r="U101" s="105">
        <f>SUM(U97:U100)</f>
        <v>75.960933531593781</v>
      </c>
      <c r="V101" s="105">
        <f>SUM(V97:V100)</f>
        <v>79.378892253383682</v>
      </c>
      <c r="W101" s="1"/>
      <c r="X101" s="1"/>
      <c r="Y101" s="21" t="s">
        <v>34</v>
      </c>
      <c r="Z101" s="51">
        <f>AVERAGE(L101:V101)</f>
        <v>80.90325358812413</v>
      </c>
      <c r="AA101" s="51">
        <f t="shared" si="54"/>
        <v>7.6075908517380268</v>
      </c>
      <c r="AB101" s="51">
        <f>MIN(L101:T101)</f>
        <v>74.677918017478817</v>
      </c>
      <c r="AC101" s="51">
        <f>MAX(F101:V101)</f>
        <v>91.321924389355019</v>
      </c>
      <c r="AD101" s="18"/>
      <c r="AE101" s="15"/>
      <c r="AF101" s="14"/>
      <c r="AG101" s="14"/>
      <c r="AH101" s="14"/>
      <c r="AJ101" s="15"/>
      <c r="AK101" s="14"/>
      <c r="AL101" s="14"/>
      <c r="AM101" s="14"/>
      <c r="AN101" s="15"/>
      <c r="AO101" s="14"/>
      <c r="AP101" s="14"/>
      <c r="AQ101" s="14"/>
    </row>
    <row r="102" spans="1:125" ht="18" customHeight="1">
      <c r="A102" s="248" t="s">
        <v>35</v>
      </c>
      <c r="B102" s="1"/>
      <c r="C102" s="1"/>
      <c r="D102" s="105">
        <f t="shared" ref="D102:U102" si="60">D98/D97*100</f>
        <v>74.41966641460381</v>
      </c>
      <c r="E102" s="105">
        <f t="shared" si="60"/>
        <v>78.37327587191227</v>
      </c>
      <c r="F102" s="105">
        <f t="shared" si="60"/>
        <v>70.312257828830568</v>
      </c>
      <c r="G102" s="105">
        <f t="shared" si="60"/>
        <v>74.289440406530161</v>
      </c>
      <c r="H102" s="105">
        <f t="shared" si="60"/>
        <v>75.698495800093369</v>
      </c>
      <c r="I102" s="105">
        <f t="shared" si="60"/>
        <v>70.340775809149463</v>
      </c>
      <c r="J102" s="105">
        <f t="shared" si="60"/>
        <v>77.448165566964931</v>
      </c>
      <c r="K102" s="105">
        <f t="shared" si="60"/>
        <v>73.826677152188992</v>
      </c>
      <c r="L102" s="105">
        <f t="shared" si="60"/>
        <v>79.902711837811665</v>
      </c>
      <c r="M102" s="105">
        <f t="shared" si="60"/>
        <v>80.380860923034433</v>
      </c>
      <c r="N102" s="105">
        <f t="shared" si="60"/>
        <v>86.13043248120367</v>
      </c>
      <c r="O102" s="105">
        <f t="shared" si="60"/>
        <v>82.577445928359666</v>
      </c>
      <c r="P102" s="105">
        <f t="shared" si="60"/>
        <v>80.619227355819675</v>
      </c>
      <c r="Q102" s="105">
        <f t="shared" si="60"/>
        <v>73.210773224326672</v>
      </c>
      <c r="R102" s="105">
        <f t="shared" si="60"/>
        <v>72.711905978286055</v>
      </c>
      <c r="S102" s="105">
        <f t="shared" si="60"/>
        <v>72.6671421930874</v>
      </c>
      <c r="T102" s="105">
        <f t="shared" si="60"/>
        <v>81.993933843127934</v>
      </c>
      <c r="U102" s="105">
        <f t="shared" si="60"/>
        <v>67.433338868074173</v>
      </c>
      <c r="V102" s="105">
        <f>V98/V97*100</f>
        <v>67.355581288700876</v>
      </c>
      <c r="W102" s="1"/>
      <c r="X102" s="1"/>
      <c r="Y102" s="22" t="s">
        <v>35</v>
      </c>
      <c r="Z102" s="51">
        <f>AVERAGE(F102:V102)</f>
        <v>75.699950969740584</v>
      </c>
      <c r="AA102" s="51">
        <f>STDEV(D102:T102)</f>
        <v>4.6085941891535924</v>
      </c>
      <c r="AB102" s="51">
        <f>MIN(L102:T102)</f>
        <v>72.6671421930874</v>
      </c>
      <c r="AC102" s="51">
        <f>MAX(L102:V102)</f>
        <v>86.13043248120367</v>
      </c>
      <c r="AD102" s="18"/>
      <c r="AE102" s="15"/>
      <c r="AJ102" s="15"/>
      <c r="AN102" s="15"/>
    </row>
    <row r="103" spans="1:125" ht="18" customHeight="1">
      <c r="A103" s="248" t="s">
        <v>44</v>
      </c>
      <c r="B103" s="1"/>
      <c r="C103" s="1"/>
      <c r="D103" s="105">
        <f t="shared" ref="D103:T103" si="61">(D86+D88)/(D84+(D90*0.9))</f>
        <v>0.79683265963262861</v>
      </c>
      <c r="E103" s="105">
        <f t="shared" si="61"/>
        <v>0.82952962296174448</v>
      </c>
      <c r="F103" s="105">
        <f t="shared" si="61"/>
        <v>0.82889489082794054</v>
      </c>
      <c r="G103" s="105">
        <f t="shared" si="61"/>
        <v>0.9215342012321257</v>
      </c>
      <c r="H103" s="105">
        <f t="shared" si="61"/>
        <v>0.99052500456194337</v>
      </c>
      <c r="I103" s="105">
        <f t="shared" si="61"/>
        <v>0.77458337116864817</v>
      </c>
      <c r="J103" s="105">
        <f t="shared" si="61"/>
        <v>0.81025362125626843</v>
      </c>
      <c r="K103" s="105">
        <f t="shared" si="61"/>
        <v>0.83794231037858624</v>
      </c>
      <c r="L103" s="105">
        <f t="shared" si="61"/>
        <v>0.98085698270881982</v>
      </c>
      <c r="M103" s="105">
        <f t="shared" si="61"/>
        <v>0.9881139394919356</v>
      </c>
      <c r="N103" s="105">
        <f t="shared" si="61"/>
        <v>1.1649241194815496</v>
      </c>
      <c r="O103" s="105">
        <f t="shared" si="61"/>
        <v>1.0856425331507196</v>
      </c>
      <c r="P103" s="105">
        <f t="shared" si="61"/>
        <v>1.0032870682406374</v>
      </c>
      <c r="Q103" s="105">
        <f t="shared" si="61"/>
        <v>0.88463605135102219</v>
      </c>
      <c r="R103" s="105">
        <f t="shared" si="61"/>
        <v>0.86406208308202637</v>
      </c>
      <c r="S103" s="105">
        <f t="shared" si="61"/>
        <v>0.92895773672487869</v>
      </c>
      <c r="T103" s="105">
        <f t="shared" si="61"/>
        <v>0.99737724926844518</v>
      </c>
      <c r="U103" s="105">
        <f>(U86+U88)/(U84+(U90*0.9))</f>
        <v>0.82169663040928353</v>
      </c>
      <c r="V103" s="105">
        <f>(V86+V88)/(V84+(V90*0.9))</f>
        <v>0.83407203048128287</v>
      </c>
      <c r="W103" s="1"/>
      <c r="X103" s="1"/>
      <c r="Y103" s="5" t="s">
        <v>44</v>
      </c>
      <c r="Z103" s="51">
        <f>AVERAGE(F103:V103)</f>
        <v>0.92455057787153616</v>
      </c>
      <c r="AA103" s="51">
        <f>STDEV(D103:T103)</f>
        <v>0.10884967968350728</v>
      </c>
      <c r="AB103" s="51">
        <f>MIN(F103:T103)</f>
        <v>0.77458337116864817</v>
      </c>
      <c r="AC103" s="51">
        <f>MAX(F103:V103)</f>
        <v>1.1649241194815496</v>
      </c>
      <c r="AD103" s="18"/>
      <c r="AE103" s="15"/>
      <c r="AF103" s="14"/>
    </row>
    <row r="104" spans="1:125" ht="24" customHeight="1">
      <c r="A104" s="5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58" t="s">
        <v>46</v>
      </c>
      <c r="Z104" s="18"/>
      <c r="AA104" s="18"/>
      <c r="AB104" s="18"/>
      <c r="AC104" s="18"/>
      <c r="AD104" s="18"/>
      <c r="AE104" s="15"/>
    </row>
    <row r="105" spans="1:125" ht="18" customHeight="1">
      <c r="A105" s="4"/>
      <c r="B105" s="2"/>
      <c r="C105" s="2"/>
      <c r="D105" s="246">
        <f>D7</f>
        <v>1998</v>
      </c>
      <c r="E105" s="246">
        <f t="shared" ref="E105:V105" si="62">E7</f>
        <v>1999</v>
      </c>
      <c r="F105" s="246">
        <f t="shared" si="62"/>
        <v>2000</v>
      </c>
      <c r="G105" s="246">
        <f t="shared" si="62"/>
        <v>2001</v>
      </c>
      <c r="H105" s="246">
        <f t="shared" si="62"/>
        <v>2002</v>
      </c>
      <c r="I105" s="246">
        <f t="shared" si="62"/>
        <v>2003</v>
      </c>
      <c r="J105" s="246">
        <f t="shared" si="62"/>
        <v>2004</v>
      </c>
      <c r="K105" s="246">
        <f t="shared" si="62"/>
        <v>2005</v>
      </c>
      <c r="L105" s="246">
        <f t="shared" si="62"/>
        <v>2006</v>
      </c>
      <c r="M105" s="246">
        <f t="shared" si="62"/>
        <v>2007</v>
      </c>
      <c r="N105" s="246">
        <f t="shared" si="62"/>
        <v>2008</v>
      </c>
      <c r="O105" s="246">
        <f t="shared" si="62"/>
        <v>2009</v>
      </c>
      <c r="P105" s="246">
        <f t="shared" si="62"/>
        <v>2010</v>
      </c>
      <c r="Q105" s="246">
        <f t="shared" si="62"/>
        <v>2011</v>
      </c>
      <c r="R105" s="246">
        <f t="shared" si="62"/>
        <v>2012</v>
      </c>
      <c r="S105" s="246">
        <f t="shared" si="62"/>
        <v>2013</v>
      </c>
      <c r="T105" s="246">
        <f t="shared" si="62"/>
        <v>2014</v>
      </c>
      <c r="U105" s="246">
        <f t="shared" si="62"/>
        <v>2015</v>
      </c>
      <c r="V105" s="246">
        <f t="shared" si="62"/>
        <v>2016</v>
      </c>
      <c r="W105" s="2"/>
      <c r="X105" s="1"/>
      <c r="Y105" s="4"/>
      <c r="Z105" s="18"/>
      <c r="AA105" s="18"/>
      <c r="AB105" s="18"/>
      <c r="AC105" s="18"/>
      <c r="AD105" s="18"/>
      <c r="AE105" s="15"/>
    </row>
    <row r="106" spans="1:125" ht="18" customHeight="1">
      <c r="A106" s="21" t="s">
        <v>36</v>
      </c>
      <c r="B106" s="2"/>
      <c r="C106" s="2"/>
      <c r="D106" s="47">
        <f t="shared" ref="D106:V106" si="63">((D97*D32)/100)*2.2046</f>
        <v>309.87837637856137</v>
      </c>
      <c r="E106" s="47">
        <f t="shared" si="63"/>
        <v>319.35129764891229</v>
      </c>
      <c r="F106" s="47">
        <f t="shared" si="63"/>
        <v>346.98254780227086</v>
      </c>
      <c r="G106" s="47">
        <f t="shared" si="63"/>
        <v>353.08844357408015</v>
      </c>
      <c r="H106" s="47">
        <f t="shared" si="63"/>
        <v>371.58543344327961</v>
      </c>
      <c r="I106" s="47">
        <f t="shared" si="63"/>
        <v>289.9577258565584</v>
      </c>
      <c r="J106" s="47">
        <f t="shared" si="63"/>
        <v>311.30211213779273</v>
      </c>
      <c r="K106" s="47">
        <f t="shared" si="63"/>
        <v>330.30902555319557</v>
      </c>
      <c r="L106" s="47">
        <f t="shared" si="63"/>
        <v>308.8089655579783</v>
      </c>
      <c r="M106" s="47">
        <f t="shared" si="63"/>
        <v>335.37941738581043</v>
      </c>
      <c r="N106" s="47">
        <f t="shared" si="63"/>
        <v>331.43609942205262</v>
      </c>
      <c r="O106" s="47">
        <f t="shared" si="63"/>
        <v>314.90155767398693</v>
      </c>
      <c r="P106" s="47">
        <f t="shared" si="63"/>
        <v>354.22801189892198</v>
      </c>
      <c r="Q106" s="47">
        <f t="shared" si="63"/>
        <v>336.81434417245021</v>
      </c>
      <c r="R106" s="47">
        <f t="shared" si="63"/>
        <v>349.81351069496179</v>
      </c>
      <c r="S106" s="47">
        <f t="shared" si="63"/>
        <v>357.11691105966577</v>
      </c>
      <c r="T106" s="47">
        <f t="shared" si="63"/>
        <v>369.27816506354571</v>
      </c>
      <c r="U106" s="47">
        <f t="shared" si="63"/>
        <v>362.50904520943442</v>
      </c>
      <c r="V106" s="47">
        <f t="shared" si="63"/>
        <v>388.19513224822657</v>
      </c>
      <c r="W106" s="2"/>
      <c r="X106" s="1"/>
      <c r="Y106" s="22" t="s">
        <v>19</v>
      </c>
      <c r="Z106" s="51">
        <f>AVERAGE(F106:V106)</f>
        <v>341.86508522083608</v>
      </c>
      <c r="AA106" s="51">
        <f>STDEV(F106:V106)</f>
        <v>25.698127940690672</v>
      </c>
      <c r="AB106" s="51">
        <f>MIN(F106:V106)</f>
        <v>289.9577258565584</v>
      </c>
      <c r="AC106" s="51">
        <f>MAX(F106:V106)</f>
        <v>388.19513224822657</v>
      </c>
      <c r="AD106" s="18"/>
      <c r="AE106" s="15"/>
    </row>
    <row r="107" spans="1:125" ht="18" customHeight="1">
      <c r="A107" s="21" t="s">
        <v>37</v>
      </c>
      <c r="B107" s="2"/>
      <c r="C107" s="2"/>
      <c r="D107" s="47">
        <f t="shared" ref="D107:V107" si="64">((D98*D33)/100)*2.2046</f>
        <v>213.11787846787669</v>
      </c>
      <c r="E107" s="47">
        <f t="shared" si="64"/>
        <v>232.67800803406556</v>
      </c>
      <c r="F107" s="47">
        <f t="shared" si="64"/>
        <v>228.6667932194525</v>
      </c>
      <c r="G107" s="47">
        <f t="shared" si="64"/>
        <v>246.01305752851349</v>
      </c>
      <c r="H107" s="47">
        <f t="shared" si="64"/>
        <v>262.69004994866941</v>
      </c>
      <c r="I107" s="47">
        <f t="shared" si="64"/>
        <v>190.76838244912651</v>
      </c>
      <c r="J107" s="47">
        <f t="shared" si="64"/>
        <v>225.19804184399106</v>
      </c>
      <c r="K107" s="47">
        <f t="shared" si="64"/>
        <v>227.63841516150876</v>
      </c>
      <c r="L107" s="47">
        <f t="shared" si="64"/>
        <v>228.55613413535468</v>
      </c>
      <c r="M107" s="47">
        <f t="shared" si="64"/>
        <v>251.30205653365425</v>
      </c>
      <c r="N107" s="47">
        <f t="shared" si="64"/>
        <v>267.58217244851124</v>
      </c>
      <c r="O107" s="47">
        <f t="shared" si="64"/>
        <v>241.90264915713206</v>
      </c>
      <c r="P107" s="47">
        <f t="shared" si="64"/>
        <v>264.38474276659889</v>
      </c>
      <c r="Q107" s="47">
        <f t="shared" si="64"/>
        <v>225.84364297674182</v>
      </c>
      <c r="R107" s="47">
        <f t="shared" si="64"/>
        <v>237.26380654397627</v>
      </c>
      <c r="S107" s="47">
        <f t="shared" si="64"/>
        <v>241.09771474473055</v>
      </c>
      <c r="T107" s="47">
        <f t="shared" si="64"/>
        <v>279.41276356667112</v>
      </c>
      <c r="U107" s="47">
        <f t="shared" si="64"/>
        <v>225.4573754634965</v>
      </c>
      <c r="V107" s="47">
        <f t="shared" si="64"/>
        <v>239.27876484271692</v>
      </c>
      <c r="W107" s="2"/>
      <c r="X107" s="1"/>
      <c r="Y107" s="22" t="s">
        <v>20</v>
      </c>
      <c r="Z107" s="51">
        <f t="shared" ref="Z107:Z110" si="65">AVERAGE(F107:V107)</f>
        <v>240.17979784299095</v>
      </c>
      <c r="AA107" s="51">
        <f t="shared" ref="AA107:AA110" si="66">STDEV(F107:V107)</f>
        <v>21.015953623062437</v>
      </c>
      <c r="AB107" s="51">
        <f t="shared" ref="AB107:AB111" si="67">MIN(F107:V107)</f>
        <v>190.76838244912651</v>
      </c>
      <c r="AC107" s="51">
        <f t="shared" ref="AC107:AC111" si="68">MAX(F107:V107)</f>
        <v>279.41276356667112</v>
      </c>
      <c r="AD107" s="18"/>
      <c r="AE107" s="15"/>
    </row>
    <row r="108" spans="1:125" ht="18" customHeight="1">
      <c r="A108" s="21" t="s">
        <v>38</v>
      </c>
      <c r="B108" s="2"/>
      <c r="C108" s="2"/>
      <c r="D108" s="47">
        <f t="shared" ref="D108:V108" si="69">((D99*D34)/100)*2.2046</f>
        <v>18.839593137136312</v>
      </c>
      <c r="E108" s="47">
        <f t="shared" si="69"/>
        <v>17.69171893188383</v>
      </c>
      <c r="F108" s="47">
        <f t="shared" si="69"/>
        <v>42.799741175960619</v>
      </c>
      <c r="G108" s="47">
        <f t="shared" si="69"/>
        <v>59.932582136275201</v>
      </c>
      <c r="H108" s="47">
        <f t="shared" si="69"/>
        <v>81.470504683018405</v>
      </c>
      <c r="I108" s="47">
        <f t="shared" si="69"/>
        <v>20.199464592756787</v>
      </c>
      <c r="J108" s="47">
        <f t="shared" si="69"/>
        <v>11.238612520749786</v>
      </c>
      <c r="K108" s="47">
        <f t="shared" si="69"/>
        <v>29.933733795003764</v>
      </c>
      <c r="L108" s="47">
        <f t="shared" si="69"/>
        <v>52.420154725531361</v>
      </c>
      <c r="M108" s="47">
        <f t="shared" si="69"/>
        <v>57.81350129582524</v>
      </c>
      <c r="N108" s="47">
        <f t="shared" si="69"/>
        <v>96.794785184867408</v>
      </c>
      <c r="O108" s="47">
        <f t="shared" si="69"/>
        <v>80.9686781217072</v>
      </c>
      <c r="P108" s="47">
        <f t="shared" si="69"/>
        <v>69.547582596087537</v>
      </c>
      <c r="Q108" s="47">
        <f t="shared" si="69"/>
        <v>49.516609435256314</v>
      </c>
      <c r="R108" s="47">
        <f t="shared" si="69"/>
        <v>42.852845943800453</v>
      </c>
      <c r="S108" s="47">
        <f t="shared" si="69"/>
        <v>61.963464483987856</v>
      </c>
      <c r="T108" s="47">
        <f t="shared" si="69"/>
        <v>60.419625037014619</v>
      </c>
      <c r="U108" s="47">
        <f t="shared" si="69"/>
        <v>51.124233258015991</v>
      </c>
      <c r="V108" s="47">
        <f t="shared" si="69"/>
        <v>57.368143417962585</v>
      </c>
      <c r="W108" s="2"/>
      <c r="X108" s="1"/>
      <c r="Y108" s="22" t="s">
        <v>39</v>
      </c>
      <c r="Z108" s="51">
        <f>AVERAGE(L108:V108)</f>
        <v>61.889965772732424</v>
      </c>
      <c r="AA108" s="51">
        <f>STDEV(L108:V108)</f>
        <v>15.496143774386677</v>
      </c>
      <c r="AB108" s="51">
        <f>MIN(L108:V108)</f>
        <v>42.852845943800453</v>
      </c>
      <c r="AC108" s="51">
        <f>MAX(L108:V108)</f>
        <v>96.794785184867408</v>
      </c>
      <c r="AD108" s="18"/>
      <c r="AE108" s="15"/>
    </row>
    <row r="109" spans="1:125" ht="18" customHeight="1">
      <c r="A109" s="4" t="s">
        <v>4</v>
      </c>
      <c r="B109" s="2"/>
      <c r="C109" s="2"/>
      <c r="D109" s="47">
        <f t="shared" ref="D109:V109" si="70">((D100*D35)/100)*2.2046</f>
        <v>9.2458685088540005</v>
      </c>
      <c r="E109" s="47">
        <f t="shared" si="70"/>
        <v>9.414516292422654</v>
      </c>
      <c r="F109" s="47">
        <f t="shared" si="70"/>
        <v>11.375575682140576</v>
      </c>
      <c r="G109" s="47">
        <f t="shared" si="70"/>
        <v>11.617624986462555</v>
      </c>
      <c r="H109" s="47">
        <f t="shared" si="70"/>
        <v>11.681429012427074</v>
      </c>
      <c r="I109" s="47">
        <f t="shared" si="70"/>
        <v>6.0023152213508197</v>
      </c>
      <c r="J109" s="47">
        <f t="shared" si="70"/>
        <v>6.5782243508262104</v>
      </c>
      <c r="K109" s="47">
        <f t="shared" si="70"/>
        <v>9.1613242835203117</v>
      </c>
      <c r="L109" s="47">
        <f t="shared" si="70"/>
        <v>8.2932075042295494</v>
      </c>
      <c r="M109" s="47">
        <f t="shared" si="70"/>
        <v>8.9392168635884719</v>
      </c>
      <c r="N109" s="47">
        <f t="shared" si="70"/>
        <v>12.380308265689438</v>
      </c>
      <c r="O109" s="47">
        <f t="shared" si="70"/>
        <v>10.130003975881881</v>
      </c>
      <c r="P109" s="47">
        <f t="shared" si="70"/>
        <v>11.956542985650803</v>
      </c>
      <c r="Q109" s="47">
        <f t="shared" si="70"/>
        <v>10.910970873722928</v>
      </c>
      <c r="R109" s="47">
        <f t="shared" si="70"/>
        <v>9.477231384741085</v>
      </c>
      <c r="S109" s="47">
        <f t="shared" si="70"/>
        <v>9.4304708924858591</v>
      </c>
      <c r="T109" s="47">
        <f t="shared" si="70"/>
        <v>10.825433405940846</v>
      </c>
      <c r="U109" s="47">
        <f t="shared" si="70"/>
        <v>10.112269012177036</v>
      </c>
      <c r="V109" s="47">
        <f t="shared" si="70"/>
        <v>10.224554878333651</v>
      </c>
      <c r="W109" s="2"/>
      <c r="X109" s="1"/>
      <c r="Y109" s="4" t="s">
        <v>4</v>
      </c>
      <c r="Z109" s="51">
        <f t="shared" si="65"/>
        <v>9.9468649164217116</v>
      </c>
      <c r="AA109" s="51">
        <f t="shared" si="66"/>
        <v>1.7923910932020444</v>
      </c>
      <c r="AB109" s="51">
        <f t="shared" si="67"/>
        <v>6.0023152213508197</v>
      </c>
      <c r="AC109" s="51">
        <f t="shared" si="68"/>
        <v>12.380308265689438</v>
      </c>
      <c r="AD109" s="18"/>
      <c r="AE109" s="15"/>
    </row>
    <row r="110" spans="1:125" ht="18" customHeight="1">
      <c r="A110" s="115" t="s">
        <v>111</v>
      </c>
      <c r="B110" s="117"/>
      <c r="C110" s="117"/>
      <c r="D110" s="118">
        <f>SUM(D106:D109)</f>
        <v>551.08171649242831</v>
      </c>
      <c r="E110" s="118">
        <f t="shared" ref="E110:K110" si="71">SUM(E106:E109)</f>
        <v>579.13554090728428</v>
      </c>
      <c r="F110" s="118">
        <f t="shared" si="71"/>
        <v>629.8246578798246</v>
      </c>
      <c r="G110" s="118">
        <f t="shared" si="71"/>
        <v>670.65170822533139</v>
      </c>
      <c r="H110" s="118">
        <f t="shared" si="71"/>
        <v>727.42741708739447</v>
      </c>
      <c r="I110" s="118">
        <f t="shared" si="71"/>
        <v>506.9278881197925</v>
      </c>
      <c r="J110" s="118">
        <f t="shared" si="71"/>
        <v>554.31699085335981</v>
      </c>
      <c r="K110" s="118">
        <f t="shared" si="71"/>
        <v>597.04249879322833</v>
      </c>
      <c r="L110" s="118">
        <f t="shared" ref="L110:T110" si="72">SUM(L106:L109)</f>
        <v>598.07846192309387</v>
      </c>
      <c r="M110" s="118">
        <f t="shared" si="72"/>
        <v>653.43419207887848</v>
      </c>
      <c r="N110" s="118">
        <f t="shared" si="72"/>
        <v>708.19336532112072</v>
      </c>
      <c r="O110" s="118">
        <f t="shared" si="72"/>
        <v>647.90288892870808</v>
      </c>
      <c r="P110" s="118">
        <f t="shared" si="72"/>
        <v>700.11688024725925</v>
      </c>
      <c r="Q110" s="118">
        <f t="shared" si="72"/>
        <v>623.08556745817123</v>
      </c>
      <c r="R110" s="118">
        <f t="shared" si="72"/>
        <v>639.40739456747974</v>
      </c>
      <c r="S110" s="118">
        <f t="shared" si="72"/>
        <v>669.60856118087008</v>
      </c>
      <c r="T110" s="118">
        <f t="shared" si="72"/>
        <v>719.93598707317233</v>
      </c>
      <c r="U110" s="118">
        <f>SUM(U106:U109)</f>
        <v>649.20292294312401</v>
      </c>
      <c r="V110" s="118">
        <f>SUM(V106:V109)</f>
        <v>695.06659538723977</v>
      </c>
      <c r="W110" s="24"/>
      <c r="X110" s="24"/>
      <c r="Y110" s="4" t="s">
        <v>5</v>
      </c>
      <c r="Z110" s="51">
        <f t="shared" si="65"/>
        <v>646.4837634157675</v>
      </c>
      <c r="AA110" s="51">
        <f t="shared" si="66"/>
        <v>59.055952565502444</v>
      </c>
      <c r="AB110" s="51">
        <f t="shared" si="67"/>
        <v>506.9278881197925</v>
      </c>
      <c r="AC110" s="51">
        <f t="shared" si="68"/>
        <v>727.42741708739447</v>
      </c>
      <c r="AD110" s="18"/>
      <c r="AE110" s="15"/>
    </row>
    <row r="111" spans="1:125" ht="18" customHeight="1">
      <c r="A111" s="248" t="s">
        <v>16</v>
      </c>
      <c r="B111" s="24"/>
      <c r="C111" s="24"/>
      <c r="D111" s="118">
        <f>D108+D109</f>
        <v>28.085461645990314</v>
      </c>
      <c r="E111" s="118">
        <f t="shared" ref="E111:T111" si="73">E108+E109</f>
        <v>27.106235224306484</v>
      </c>
      <c r="F111" s="118">
        <f t="shared" si="73"/>
        <v>54.175316858101198</v>
      </c>
      <c r="G111" s="118">
        <f t="shared" si="73"/>
        <v>71.55020712273776</v>
      </c>
      <c r="H111" s="118">
        <f t="shared" si="73"/>
        <v>93.151933695445479</v>
      </c>
      <c r="I111" s="118">
        <f t="shared" si="73"/>
        <v>26.201779814107606</v>
      </c>
      <c r="J111" s="118">
        <f t="shared" si="73"/>
        <v>17.816836871575997</v>
      </c>
      <c r="K111" s="118">
        <f t="shared" si="73"/>
        <v>39.095058078524076</v>
      </c>
      <c r="L111" s="118">
        <f t="shared" si="73"/>
        <v>60.713362229760911</v>
      </c>
      <c r="M111" s="118">
        <f t="shared" si="73"/>
        <v>66.752718159413718</v>
      </c>
      <c r="N111" s="118">
        <f t="shared" si="73"/>
        <v>109.17509345055684</v>
      </c>
      <c r="O111" s="118">
        <f t="shared" si="73"/>
        <v>91.098682097589077</v>
      </c>
      <c r="P111" s="118">
        <f t="shared" si="73"/>
        <v>81.504125581738336</v>
      </c>
      <c r="Q111" s="118">
        <f t="shared" si="73"/>
        <v>60.427580308979245</v>
      </c>
      <c r="R111" s="118">
        <f t="shared" si="73"/>
        <v>52.330077328541535</v>
      </c>
      <c r="S111" s="118">
        <f t="shared" si="73"/>
        <v>71.393935376473721</v>
      </c>
      <c r="T111" s="118">
        <f t="shared" si="73"/>
        <v>71.245058442955468</v>
      </c>
      <c r="U111" s="118">
        <f>U108+U109</f>
        <v>61.236502270193029</v>
      </c>
      <c r="V111" s="118">
        <f>V108+V109</f>
        <v>67.592698296296234</v>
      </c>
      <c r="W111" s="1"/>
      <c r="X111" s="1"/>
      <c r="Y111" s="22" t="s">
        <v>16</v>
      </c>
      <c r="Z111" s="51">
        <f t="shared" ref="Z111" si="74">AVERAGE(F111:T111)</f>
        <v>64.442117694433392</v>
      </c>
      <c r="AA111" s="51">
        <f t="shared" ref="AA111" si="75">STDEV(F111:T111)</f>
        <v>24.695707129311852</v>
      </c>
      <c r="AB111" s="51">
        <f t="shared" si="67"/>
        <v>17.816836871575997</v>
      </c>
      <c r="AC111" s="51">
        <f t="shared" si="68"/>
        <v>109.17509345055684</v>
      </c>
      <c r="AD111" s="18"/>
      <c r="AE111" s="15"/>
    </row>
    <row r="112" spans="1:125" ht="18" customHeight="1">
      <c r="A112" s="5"/>
      <c r="B112" s="26"/>
      <c r="C112" s="26"/>
      <c r="D112" s="247">
        <f>D7</f>
        <v>1998</v>
      </c>
      <c r="E112" s="247">
        <f t="shared" ref="E112:V112" si="76">E7</f>
        <v>1999</v>
      </c>
      <c r="F112" s="247">
        <f t="shared" si="76"/>
        <v>2000</v>
      </c>
      <c r="G112" s="247">
        <f t="shared" si="76"/>
        <v>2001</v>
      </c>
      <c r="H112" s="247">
        <f t="shared" si="76"/>
        <v>2002</v>
      </c>
      <c r="I112" s="247">
        <f t="shared" si="76"/>
        <v>2003</v>
      </c>
      <c r="J112" s="247">
        <f t="shared" si="76"/>
        <v>2004</v>
      </c>
      <c r="K112" s="247">
        <f t="shared" si="76"/>
        <v>2005</v>
      </c>
      <c r="L112" s="247">
        <f t="shared" si="76"/>
        <v>2006</v>
      </c>
      <c r="M112" s="247">
        <f t="shared" si="76"/>
        <v>2007</v>
      </c>
      <c r="N112" s="247">
        <f t="shared" si="76"/>
        <v>2008</v>
      </c>
      <c r="O112" s="247">
        <f t="shared" si="76"/>
        <v>2009</v>
      </c>
      <c r="P112" s="247">
        <f t="shared" si="76"/>
        <v>2010</v>
      </c>
      <c r="Q112" s="247">
        <f t="shared" si="76"/>
        <v>2011</v>
      </c>
      <c r="R112" s="247">
        <f t="shared" si="76"/>
        <v>2012</v>
      </c>
      <c r="S112" s="247">
        <f t="shared" si="76"/>
        <v>2013</v>
      </c>
      <c r="T112" s="247">
        <f t="shared" si="76"/>
        <v>2014</v>
      </c>
      <c r="U112" s="247">
        <f t="shared" si="76"/>
        <v>2015</v>
      </c>
      <c r="V112" s="247">
        <f t="shared" si="76"/>
        <v>2016</v>
      </c>
      <c r="W112" s="1"/>
      <c r="X112" s="1"/>
      <c r="Y112" s="22"/>
      <c r="Z112" s="18"/>
      <c r="AA112" s="18"/>
      <c r="AB112" s="18"/>
      <c r="AC112" s="18"/>
      <c r="AD112" s="18"/>
      <c r="AE112" s="15"/>
    </row>
    <row r="113" spans="1:31" ht="18" customHeight="1">
      <c r="A113" s="22" t="s">
        <v>17</v>
      </c>
      <c r="B113" s="19"/>
      <c r="C113" s="19"/>
      <c r="D113" s="50">
        <f t="shared" ref="D113:V113" si="77">(D106/(D32*2*2.2046))*100</f>
        <v>19.587760833031691</v>
      </c>
      <c r="E113" s="50">
        <f t="shared" si="77"/>
        <v>20.059754877444238</v>
      </c>
      <c r="F113" s="50">
        <f t="shared" si="77"/>
        <v>21.339640086240518</v>
      </c>
      <c r="G113" s="50">
        <f t="shared" si="77"/>
        <v>21.503559291965903</v>
      </c>
      <c r="H113" s="50">
        <f t="shared" si="77"/>
        <v>22.330855375197093</v>
      </c>
      <c r="I113" s="50">
        <f t="shared" si="77"/>
        <v>17.362738075243016</v>
      </c>
      <c r="J113" s="50">
        <f t="shared" si="77"/>
        <v>18.663196171330497</v>
      </c>
      <c r="K113" s="50">
        <f t="shared" si="77"/>
        <v>19.970315934292358</v>
      </c>
      <c r="L113" s="50">
        <f t="shared" si="77"/>
        <v>18.359629343518328</v>
      </c>
      <c r="M113" s="50">
        <f t="shared" si="77"/>
        <v>19.964187109237496</v>
      </c>
      <c r="N113" s="50">
        <f t="shared" si="77"/>
        <v>19.681478588007874</v>
      </c>
      <c r="O113" s="50">
        <f t="shared" si="77"/>
        <v>18.611203172221447</v>
      </c>
      <c r="P113" s="50">
        <f t="shared" si="77"/>
        <v>20.861484799700943</v>
      </c>
      <c r="Q113" s="50">
        <f t="shared" si="77"/>
        <v>19.673735056801998</v>
      </c>
      <c r="R113" s="50">
        <f t="shared" si="77"/>
        <v>19.92104275028256</v>
      </c>
      <c r="S113" s="50">
        <f t="shared" si="77"/>
        <v>20.430029236822985</v>
      </c>
      <c r="T113" s="50">
        <f t="shared" si="77"/>
        <v>21.45219966675646</v>
      </c>
      <c r="U113" s="50">
        <f t="shared" si="77"/>
        <v>20.276369541426213</v>
      </c>
      <c r="V113" s="50">
        <f t="shared" si="77"/>
        <v>21.120518620686973</v>
      </c>
      <c r="W113" s="19"/>
      <c r="X113" s="1"/>
      <c r="Y113" s="22" t="s">
        <v>17</v>
      </c>
      <c r="Z113" s="51">
        <f>AVERAGE(D113:T113)</f>
        <v>19.98663590400561</v>
      </c>
      <c r="AA113" s="51">
        <f>STDEV(D113:T113)</f>
        <v>1.2814231265212599</v>
      </c>
      <c r="AB113" s="51">
        <f>MIN(D113:T113)</f>
        <v>17.362738075243016</v>
      </c>
      <c r="AC113" s="51">
        <f>MAX(D113:T113)</f>
        <v>22.330855375197093</v>
      </c>
      <c r="AD113" s="18"/>
      <c r="AE113" s="15"/>
    </row>
    <row r="114" spans="1:31" ht="18" customHeight="1">
      <c r="A114" s="22" t="s">
        <v>18</v>
      </c>
      <c r="B114" s="19"/>
      <c r="C114" s="19"/>
      <c r="D114" s="50">
        <f t="shared" ref="D114:V114" si="78">(D107/(D33*2*2.2046)*100)</f>
        <v>14.577146270032607</v>
      </c>
      <c r="E114" s="50">
        <f t="shared" si="78"/>
        <v>15.721487029328751</v>
      </c>
      <c r="F114" s="50">
        <f t="shared" si="78"/>
        <v>15.004382757181919</v>
      </c>
      <c r="G114" s="50">
        <f t="shared" si="78"/>
        <v>15.974873865487888</v>
      </c>
      <c r="H114" s="50">
        <f t="shared" si="78"/>
        <v>16.904121618318495</v>
      </c>
      <c r="I114" s="50">
        <f t="shared" si="78"/>
        <v>12.213084663836524</v>
      </c>
      <c r="J114" s="50">
        <f t="shared" si="78"/>
        <v>14.454303070859503</v>
      </c>
      <c r="K114" s="50">
        <f t="shared" si="78"/>
        <v>14.743420671082175</v>
      </c>
      <c r="L114" s="50">
        <f t="shared" si="78"/>
        <v>14.669841728841766</v>
      </c>
      <c r="M114" s="50">
        <f t="shared" si="78"/>
        <v>16.047385474690564</v>
      </c>
      <c r="N114" s="50">
        <f t="shared" si="78"/>
        <v>16.951742626546679</v>
      </c>
      <c r="O114" s="50">
        <f t="shared" si="78"/>
        <v>15.368656236158326</v>
      </c>
      <c r="P114" s="50">
        <f t="shared" si="78"/>
        <v>16.818367860470669</v>
      </c>
      <c r="Q114" s="50">
        <f t="shared" si="78"/>
        <v>14.403293557190169</v>
      </c>
      <c r="R114" s="50">
        <f t="shared" si="78"/>
        <v>14.484969874479624</v>
      </c>
      <c r="S114" s="50">
        <f t="shared" si="78"/>
        <v>14.845918395611488</v>
      </c>
      <c r="T114" s="50">
        <f t="shared" si="78"/>
        <v>17.589502402656002</v>
      </c>
      <c r="U114" s="50">
        <f t="shared" si="78"/>
        <v>13.673032983012911</v>
      </c>
      <c r="V114" s="50">
        <f t="shared" si="78"/>
        <v>14.225848088152016</v>
      </c>
      <c r="W114" s="19"/>
      <c r="X114" s="1"/>
      <c r="Y114" s="22" t="s">
        <v>18</v>
      </c>
      <c r="Z114" s="51">
        <f>AVERAGE(D114:T114)</f>
        <v>15.339558711927834</v>
      </c>
      <c r="AA114" s="51">
        <f>STDEV(D114:T114)</f>
        <v>1.3051366549046557</v>
      </c>
      <c r="AB114" s="51">
        <f>MIN(D114:T114)</f>
        <v>12.213084663836524</v>
      </c>
      <c r="AC114" s="51">
        <f>MAX(D114:T114)</f>
        <v>17.589502402656002</v>
      </c>
      <c r="AD114" s="18"/>
      <c r="AE114" s="15"/>
    </row>
    <row r="115" spans="1:31" ht="18" customHeight="1">
      <c r="A115" s="22" t="s">
        <v>40</v>
      </c>
      <c r="B115" s="2"/>
      <c r="C115" s="2"/>
      <c r="D115" s="50">
        <f t="shared" ref="D115:V115" si="79">(D108/(D34*2*2.2046)*100)</f>
        <v>1.4787749715177638</v>
      </c>
      <c r="E115" s="50">
        <f t="shared" si="79"/>
        <v>1.3525778999911187</v>
      </c>
      <c r="F115" s="50">
        <f t="shared" si="79"/>
        <v>3.1286360508743143</v>
      </c>
      <c r="G115" s="50">
        <f t="shared" si="79"/>
        <v>4.3179093758123344</v>
      </c>
      <c r="H115" s="50">
        <f t="shared" si="79"/>
        <v>5.7862574348734661</v>
      </c>
      <c r="I115" s="50">
        <f t="shared" si="79"/>
        <v>1.4387083043274065</v>
      </c>
      <c r="J115" s="50">
        <f t="shared" si="79"/>
        <v>0.85270201219649366</v>
      </c>
      <c r="K115" s="50">
        <f t="shared" si="79"/>
        <v>2.2574459875568449</v>
      </c>
      <c r="L115" s="50">
        <f t="shared" si="79"/>
        <v>3.9061218126327395</v>
      </c>
      <c r="M115" s="50">
        <f t="shared" si="79"/>
        <v>4.2952081200464516</v>
      </c>
      <c r="N115" s="50">
        <f t="shared" si="79"/>
        <v>7.1275692431223652</v>
      </c>
      <c r="O115" s="50">
        <f t="shared" si="79"/>
        <v>6.0065784956756083</v>
      </c>
      <c r="P115" s="50">
        <f t="shared" si="79"/>
        <v>5.1746713241136559</v>
      </c>
      <c r="Q115" s="50">
        <f t="shared" si="79"/>
        <v>3.7007929323808906</v>
      </c>
      <c r="R115" s="50">
        <f t="shared" si="79"/>
        <v>3.1695891970266605</v>
      </c>
      <c r="S115" s="50">
        <f t="shared" si="79"/>
        <v>4.6241391405961085</v>
      </c>
      <c r="T115" s="50">
        <f t="shared" si="79"/>
        <v>4.4262164505812729</v>
      </c>
      <c r="U115" s="50">
        <f t="shared" si="79"/>
        <v>3.5267820956136857</v>
      </c>
      <c r="V115" s="50">
        <f t="shared" si="79"/>
        <v>3.8399025045490349</v>
      </c>
      <c r="W115" s="2"/>
      <c r="X115" s="1"/>
      <c r="Y115" s="22" t="s">
        <v>40</v>
      </c>
      <c r="Z115" s="51">
        <f>AVERAGE(D115:T115)</f>
        <v>3.7084646325485586</v>
      </c>
      <c r="AA115" s="51">
        <f>STDEV(D115:T115)</f>
        <v>1.8046462500902487</v>
      </c>
      <c r="AB115" s="51">
        <f>MIN(D115:T115)</f>
        <v>0.85270201219649366</v>
      </c>
      <c r="AC115" s="51">
        <f>MAX(D115:T115)</f>
        <v>7.1275692431223652</v>
      </c>
      <c r="AD115" s="18"/>
      <c r="AE115" s="15"/>
    </row>
    <row r="116" spans="1:31" ht="18" customHeight="1">
      <c r="A116" s="22" t="s">
        <v>21</v>
      </c>
      <c r="B116" s="1"/>
      <c r="C116" s="1"/>
      <c r="D116" s="50">
        <f t="shared" ref="D116:V116" si="80">(D109/(D35*2*2.2046)*100)</f>
        <v>0.5235486131853907</v>
      </c>
      <c r="E116" s="50">
        <f t="shared" si="80"/>
        <v>0.51842050068406687</v>
      </c>
      <c r="F116" s="50">
        <f t="shared" si="80"/>
        <v>0.61756654083282181</v>
      </c>
      <c r="G116" s="50">
        <f t="shared" si="80"/>
        <v>0.63693119443325419</v>
      </c>
      <c r="H116" s="50">
        <f t="shared" si="80"/>
        <v>0.63972776628844874</v>
      </c>
      <c r="I116" s="50">
        <f t="shared" si="80"/>
        <v>0.30437703962225254</v>
      </c>
      <c r="J116" s="50">
        <f t="shared" si="80"/>
        <v>0.32405046063183301</v>
      </c>
      <c r="K116" s="50">
        <f t="shared" si="80"/>
        <v>0.44129693080540999</v>
      </c>
      <c r="L116" s="50">
        <f t="shared" si="80"/>
        <v>0.40336612374657344</v>
      </c>
      <c r="M116" s="50">
        <f t="shared" si="80"/>
        <v>0.43776772103763328</v>
      </c>
      <c r="N116" s="50">
        <f t="shared" si="80"/>
        <v>0.61846596811839549</v>
      </c>
      <c r="O116" s="50">
        <f t="shared" si="80"/>
        <v>0.53147974689831479</v>
      </c>
      <c r="P116" s="50">
        <f t="shared" si="80"/>
        <v>0.59190806859657441</v>
      </c>
      <c r="Q116" s="50">
        <f t="shared" si="80"/>
        <v>0.54773950169291818</v>
      </c>
      <c r="R116" s="50">
        <f t="shared" si="80"/>
        <v>0.47528743153164921</v>
      </c>
      <c r="S116" s="50">
        <f t="shared" si="80"/>
        <v>0.54260476941805857</v>
      </c>
      <c r="T116" s="50">
        <f t="shared" si="80"/>
        <v>0.58380791498268036</v>
      </c>
      <c r="U116" s="50">
        <f t="shared" si="80"/>
        <v>0.50428214574408736</v>
      </c>
      <c r="V116" s="50">
        <f t="shared" si="80"/>
        <v>0.50317691330382142</v>
      </c>
      <c r="W116" s="1"/>
      <c r="X116" s="1"/>
      <c r="Y116" s="22" t="s">
        <v>21</v>
      </c>
      <c r="Z116" s="51">
        <f>AVERAGE(D116:T116)</f>
        <v>0.51402037014742796</v>
      </c>
      <c r="AA116" s="51">
        <f>STDEV(D116:T116)</f>
        <v>0.10329950209525467</v>
      </c>
      <c r="AB116" s="51">
        <f>MIN(D116:T116)</f>
        <v>0.30437703962225254</v>
      </c>
      <c r="AC116" s="51">
        <f>MAX(D116:T116)</f>
        <v>0.63972776628844874</v>
      </c>
      <c r="AD116" s="18"/>
      <c r="AE116" s="15"/>
    </row>
    <row r="117" spans="1:31" ht="18" customHeight="1">
      <c r="A117" s="115" t="s">
        <v>111</v>
      </c>
      <c r="B117" s="1"/>
      <c r="C117" s="1"/>
      <c r="D117" s="105">
        <f>SUM(D113:D116)</f>
        <v>36.16723068776745</v>
      </c>
      <c r="E117" s="105">
        <f t="shared" ref="E117:T117" si="81">SUM(E113:E116)</f>
        <v>37.652240307448174</v>
      </c>
      <c r="F117" s="105">
        <f t="shared" si="81"/>
        <v>40.090225435129568</v>
      </c>
      <c r="G117" s="105">
        <f t="shared" si="81"/>
        <v>42.43327372769938</v>
      </c>
      <c r="H117" s="105">
        <f t="shared" si="81"/>
        <v>45.660962194677502</v>
      </c>
      <c r="I117" s="105">
        <f t="shared" si="81"/>
        <v>31.3189080830292</v>
      </c>
      <c r="J117" s="105">
        <f t="shared" si="81"/>
        <v>34.294251715018326</v>
      </c>
      <c r="K117" s="105">
        <f t="shared" si="81"/>
        <v>37.412479523736785</v>
      </c>
      <c r="L117" s="105">
        <f t="shared" si="81"/>
        <v>37.338959008739408</v>
      </c>
      <c r="M117" s="105">
        <f t="shared" si="81"/>
        <v>40.744548425012141</v>
      </c>
      <c r="N117" s="105">
        <f t="shared" si="81"/>
        <v>44.379256425795312</v>
      </c>
      <c r="O117" s="105">
        <f t="shared" si="81"/>
        <v>40.517917650953692</v>
      </c>
      <c r="P117" s="105">
        <f t="shared" si="81"/>
        <v>43.446432052881839</v>
      </c>
      <c r="Q117" s="105">
        <f t="shared" si="81"/>
        <v>38.325561048065978</v>
      </c>
      <c r="R117" s="105">
        <f t="shared" si="81"/>
        <v>38.050889253320491</v>
      </c>
      <c r="S117" s="105">
        <f t="shared" si="81"/>
        <v>40.442691542448635</v>
      </c>
      <c r="T117" s="105">
        <f t="shared" si="81"/>
        <v>44.051726434976416</v>
      </c>
      <c r="U117" s="105">
        <f>SUM(U113:U116)</f>
        <v>37.980466765796891</v>
      </c>
      <c r="V117" s="105">
        <f>SUM(V113:V116)</f>
        <v>39.689446126691841</v>
      </c>
      <c r="W117" s="1"/>
      <c r="X117" s="1"/>
      <c r="Y117" s="22" t="s">
        <v>5</v>
      </c>
      <c r="Z117" s="51">
        <f>AVERAGE(D117:T117)</f>
        <v>39.548679618629428</v>
      </c>
      <c r="AA117" s="51">
        <f>STDEV(D117:T117)</f>
        <v>3.803795425869013</v>
      </c>
      <c r="AB117" s="51">
        <f>MIN(D117:T117)</f>
        <v>31.3189080830292</v>
      </c>
      <c r="AC117" s="51">
        <f>MAX(D117:T117)</f>
        <v>45.660962194677502</v>
      </c>
      <c r="AD117" s="18"/>
      <c r="AE117" s="15"/>
    </row>
    <row r="118" spans="1:31" ht="18" customHeight="1">
      <c r="A118" s="5"/>
      <c r="B118" s="24"/>
      <c r="C118" s="24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1"/>
      <c r="S118" s="1"/>
      <c r="T118" s="1"/>
      <c r="U118" s="1"/>
      <c r="V118" s="1"/>
      <c r="W118" s="1"/>
      <c r="X118" s="1"/>
      <c r="Y118" s="1"/>
      <c r="Z118" s="18"/>
      <c r="AA118" s="18"/>
      <c r="AB118" s="18"/>
      <c r="AC118" s="18"/>
      <c r="AD118" s="18"/>
      <c r="AE118" s="15"/>
    </row>
    <row r="119" spans="1:31">
      <c r="B119" s="3"/>
      <c r="C119" s="3"/>
    </row>
    <row r="120" spans="1:31">
      <c r="A120" s="22" t="s">
        <v>78</v>
      </c>
      <c r="B120" s="14"/>
      <c r="C120" s="14"/>
      <c r="D120" s="14"/>
      <c r="E120" s="14"/>
      <c r="F120" s="31">
        <v>7388</v>
      </c>
      <c r="G120" s="31">
        <v>6914</v>
      </c>
      <c r="H120" s="31">
        <v>8346</v>
      </c>
      <c r="I120" s="31">
        <v>4166</v>
      </c>
      <c r="J120" s="31">
        <v>0</v>
      </c>
      <c r="K120" s="31">
        <v>0</v>
      </c>
      <c r="L120" s="31">
        <v>0</v>
      </c>
      <c r="M120" s="31">
        <v>3227</v>
      </c>
      <c r="N120" s="31"/>
      <c r="O120" s="31"/>
      <c r="P120" s="31"/>
      <c r="Q120" s="31"/>
      <c r="R120" s="31"/>
      <c r="S120" s="31"/>
      <c r="T120" s="31"/>
      <c r="U120" s="31"/>
      <c r="V120" s="31"/>
      <c r="Z120" s="1"/>
    </row>
    <row r="121" spans="1:31">
      <c r="A121" s="69" t="s">
        <v>13</v>
      </c>
      <c r="B121" s="19"/>
      <c r="C121" s="19"/>
      <c r="D121" s="19"/>
      <c r="E121" s="19"/>
      <c r="F121" s="31">
        <v>2304</v>
      </c>
      <c r="G121" s="31">
        <v>2638</v>
      </c>
      <c r="H121" s="31">
        <v>2655</v>
      </c>
      <c r="I121" s="31">
        <v>1914</v>
      </c>
      <c r="J121" s="31">
        <v>0</v>
      </c>
      <c r="K121" s="31">
        <v>0</v>
      </c>
      <c r="L121" s="31">
        <v>0</v>
      </c>
      <c r="M121" s="31">
        <v>209</v>
      </c>
      <c r="N121" s="31">
        <v>746</v>
      </c>
      <c r="O121" s="31">
        <v>1174</v>
      </c>
      <c r="P121" s="31">
        <v>761</v>
      </c>
      <c r="Q121" s="31">
        <v>1314</v>
      </c>
      <c r="R121" s="31">
        <v>1708</v>
      </c>
      <c r="S121" s="31">
        <v>1048</v>
      </c>
      <c r="T121" s="31">
        <v>2257</v>
      </c>
      <c r="U121" s="31">
        <v>3212</v>
      </c>
      <c r="V121" s="31">
        <v>1972</v>
      </c>
      <c r="Z121" s="1"/>
      <c r="AA121" s="1"/>
      <c r="AB121" s="9"/>
      <c r="AC121" s="9"/>
      <c r="AD121" s="9"/>
    </row>
    <row r="122" spans="1:31">
      <c r="A122" s="69" t="s">
        <v>77</v>
      </c>
      <c r="B122" s="19"/>
      <c r="C122" s="19"/>
      <c r="D122" s="19"/>
      <c r="E122" s="20"/>
      <c r="F122" s="234">
        <v>7388</v>
      </c>
      <c r="G122" s="234">
        <v>6914</v>
      </c>
      <c r="H122" s="234">
        <v>8346</v>
      </c>
      <c r="I122" s="234">
        <v>4166</v>
      </c>
      <c r="J122" s="234">
        <v>0</v>
      </c>
      <c r="K122" s="234">
        <v>0</v>
      </c>
      <c r="L122" s="234">
        <v>0</v>
      </c>
      <c r="M122" s="234">
        <v>3227</v>
      </c>
      <c r="N122" s="31">
        <v>9907</v>
      </c>
      <c r="O122" s="34">
        <v>3257</v>
      </c>
      <c r="P122" s="34">
        <v>1340</v>
      </c>
      <c r="Q122" s="34">
        <v>1719</v>
      </c>
      <c r="R122" s="34">
        <v>2578</v>
      </c>
      <c r="S122" s="34">
        <v>2823</v>
      </c>
      <c r="T122" s="34">
        <v>1681</v>
      </c>
      <c r="U122" s="34">
        <v>771</v>
      </c>
      <c r="V122" s="34">
        <v>500</v>
      </c>
      <c r="Z122" s="1"/>
      <c r="AA122" s="1"/>
      <c r="AB122" s="9"/>
      <c r="AC122" s="9"/>
      <c r="AD122" s="9"/>
    </row>
    <row r="123" spans="1:31">
      <c r="B123" s="19"/>
      <c r="C123" s="19"/>
      <c r="D123" s="19"/>
      <c r="E123" s="19"/>
      <c r="F123" s="234"/>
      <c r="G123" s="234"/>
      <c r="H123" s="234"/>
      <c r="I123" s="234"/>
      <c r="J123" s="234"/>
      <c r="K123" s="234"/>
      <c r="L123" s="234"/>
      <c r="M123" s="234"/>
      <c r="N123" s="234"/>
      <c r="O123" s="34"/>
      <c r="P123" s="34"/>
      <c r="Q123" s="34"/>
      <c r="R123" s="34"/>
      <c r="S123" s="34"/>
      <c r="T123" s="34"/>
      <c r="U123" s="34"/>
      <c r="V123" s="34"/>
      <c r="Z123" s="1"/>
      <c r="AA123" s="1"/>
      <c r="AB123" s="9"/>
      <c r="AC123" s="9"/>
      <c r="AD123" s="9"/>
    </row>
    <row r="124" spans="1:31">
      <c r="A124" s="69" t="s">
        <v>54</v>
      </c>
      <c r="B124" s="19"/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Z124" s="1"/>
      <c r="AA124" s="1"/>
      <c r="AB124" s="9"/>
      <c r="AC124" s="9"/>
      <c r="AD124" s="9"/>
    </row>
    <row r="125" spans="1:31">
      <c r="A125" s="69" t="s">
        <v>55</v>
      </c>
      <c r="B125" s="19"/>
      <c r="C125" s="19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Z125" s="1"/>
      <c r="AA125" s="1"/>
      <c r="AB125" s="9"/>
      <c r="AC125" s="9"/>
      <c r="AD125" s="9"/>
    </row>
    <row r="126" spans="1:31">
      <c r="A126" s="69" t="s">
        <v>56</v>
      </c>
      <c r="B126" s="19"/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Z126" s="1"/>
      <c r="AA126" s="1"/>
      <c r="AB126" s="9"/>
      <c r="AC126" s="9"/>
      <c r="AD126" s="9"/>
    </row>
    <row r="127" spans="1:31">
      <c r="B127" s="19"/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Z127" s="1"/>
      <c r="AA127" s="1"/>
      <c r="AB127" s="9"/>
      <c r="AC127" s="9"/>
      <c r="AD127" s="9"/>
    </row>
    <row r="128" spans="1:31">
      <c r="E128" s="6"/>
      <c r="F128" s="19"/>
      <c r="M128" s="19"/>
    </row>
    <row r="129" spans="1:30">
      <c r="A129" s="23" t="s">
        <v>90</v>
      </c>
    </row>
    <row r="130" spans="1:30">
      <c r="A130" s="23" t="s">
        <v>92</v>
      </c>
    </row>
    <row r="131" spans="1:30">
      <c r="A131" s="22" t="s">
        <v>98</v>
      </c>
    </row>
    <row r="132" spans="1:30">
      <c r="A132" s="23" t="s">
        <v>103</v>
      </c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30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30">
      <c r="A134" s="4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30">
      <c r="A135" s="4"/>
      <c r="B135" s="1"/>
      <c r="C135" s="1"/>
      <c r="D135" s="1"/>
      <c r="E135" s="9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1"/>
      <c r="AA135" s="1"/>
      <c r="AB135" s="1"/>
      <c r="AC135" s="1"/>
      <c r="AD135" s="1"/>
    </row>
    <row r="136" spans="1:30">
      <c r="A136" s="22"/>
      <c r="E136" s="20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</row>
    <row r="137" spans="1:30">
      <c r="A137" s="4"/>
    </row>
    <row r="138" spans="1:30">
      <c r="A138" s="22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30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AB139" s="1"/>
    </row>
    <row r="140" spans="1:30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1"/>
      <c r="AA140" s="1"/>
      <c r="AB140" s="1"/>
      <c r="AC140" s="1"/>
      <c r="AD140" s="1"/>
    </row>
    <row r="141" spans="1:30">
      <c r="AB141" s="1"/>
    </row>
    <row r="143" spans="1:30">
      <c r="E143" s="7"/>
    </row>
    <row r="144" spans="1:30">
      <c r="E144" s="7"/>
    </row>
    <row r="145" spans="1:5">
      <c r="E145" s="7"/>
    </row>
    <row r="146" spans="1:5">
      <c r="E146" s="7"/>
    </row>
    <row r="147" spans="1:5">
      <c r="E147" s="8"/>
    </row>
    <row r="150" spans="1:5">
      <c r="E150" s="7"/>
    </row>
    <row r="151" spans="1:5">
      <c r="E151" s="7"/>
    </row>
    <row r="152" spans="1:5">
      <c r="E152" s="7"/>
    </row>
    <row r="153" spans="1:5">
      <c r="E153" s="7"/>
    </row>
    <row r="154" spans="1:5">
      <c r="A154" s="4"/>
      <c r="E154" s="8"/>
    </row>
    <row r="155" spans="1:5">
      <c r="A155" s="4"/>
    </row>
    <row r="156" spans="1:5">
      <c r="A156" s="4"/>
      <c r="E156" s="7"/>
    </row>
    <row r="157" spans="1:5">
      <c r="A157" s="4"/>
      <c r="E157" s="7"/>
    </row>
    <row r="158" spans="1:5">
      <c r="A158" s="4"/>
      <c r="E158" s="7"/>
    </row>
    <row r="159" spans="1:5">
      <c r="A159" s="4"/>
      <c r="E159" s="7"/>
    </row>
    <row r="160" spans="1:5">
      <c r="A160" s="4"/>
      <c r="E160" s="7"/>
    </row>
    <row r="161" spans="5:5">
      <c r="E161" s="7"/>
    </row>
    <row r="163" spans="5:5">
      <c r="E163" s="7"/>
    </row>
    <row r="164" spans="5:5">
      <c r="E164" s="7"/>
    </row>
    <row r="165" spans="5:5">
      <c r="E165" s="7"/>
    </row>
    <row r="166" spans="5:5">
      <c r="E166" s="7"/>
    </row>
    <row r="167" spans="5:5">
      <c r="E167" s="7"/>
    </row>
    <row r="168" spans="5:5">
      <c r="E168" s="7"/>
    </row>
    <row r="169" spans="5:5">
      <c r="E169" s="7"/>
    </row>
    <row r="174" spans="5:5">
      <c r="E174" s="7"/>
    </row>
    <row r="175" spans="5:5">
      <c r="E175" s="7"/>
    </row>
    <row r="176" spans="5:5">
      <c r="E176" s="7"/>
    </row>
    <row r="177" spans="5:5">
      <c r="E177" s="7"/>
    </row>
    <row r="178" spans="5:5">
      <c r="E178" s="7"/>
    </row>
    <row r="179" spans="5:5">
      <c r="E179" s="7"/>
    </row>
    <row r="181" spans="5:5">
      <c r="E181" s="8"/>
    </row>
    <row r="182" spans="5:5">
      <c r="E182" s="7"/>
    </row>
    <row r="183" spans="5:5">
      <c r="E183" s="8"/>
    </row>
    <row r="184" spans="5:5">
      <c r="E184" s="7"/>
    </row>
    <row r="186" spans="5:5">
      <c r="E186" s="8"/>
    </row>
    <row r="187" spans="5:5">
      <c r="E187" s="8"/>
    </row>
    <row r="188" spans="5:5">
      <c r="E188" s="8"/>
    </row>
    <row r="191" spans="5:5">
      <c r="E191" s="6"/>
    </row>
    <row r="192" spans="5:5">
      <c r="E192" s="6"/>
    </row>
    <row r="193" spans="5:5">
      <c r="E193" s="6"/>
    </row>
    <row r="194" spans="5:5">
      <c r="E194" s="6"/>
    </row>
    <row r="197" spans="5:5">
      <c r="E197" s="7"/>
    </row>
  </sheetData>
  <phoneticPr fontId="0" type="noConversion"/>
  <pageMargins left="0.75" right="0.75" top="1" bottom="1" header="0.5" footer="0.5"/>
  <pageSetup orientation="portrait" horizontalDpi="300" verticalDpi="300" r:id="rId1"/>
  <headerFooter alignWithMargins="0">
    <oddHeader>&amp;C&amp;A</oddHeader>
    <oddFooter>Page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K10" sqref="K10"/>
    </sheetView>
  </sheetViews>
  <sheetFormatPr defaultRowHeight="12.75"/>
  <cols>
    <col min="1" max="2" width="30.5703125" style="124" customWidth="1"/>
    <col min="3" max="16384" width="9.140625" style="124"/>
  </cols>
  <sheetData>
    <row r="1" spans="1:3" ht="15">
      <c r="A1" s="123" t="s">
        <v>51</v>
      </c>
    </row>
    <row r="2" spans="1:3" ht="15">
      <c r="A2" s="125"/>
    </row>
    <row r="4" spans="1:3" ht="99.95" customHeight="1">
      <c r="A4" s="126" t="s">
        <v>52</v>
      </c>
      <c r="B4" s="126" t="s">
        <v>53</v>
      </c>
    </row>
    <row r="7" spans="1:3" ht="76.5">
      <c r="A7" s="127" t="s">
        <v>79</v>
      </c>
      <c r="C7" s="128"/>
    </row>
  </sheetData>
  <sheetProtection algorithmName="SHA-512" hashValue="JT6WsON/Cs2YsE2zPFqEo9QHIIQgn5vkwYWXzEOBKjTeYT6v2Lv02hrrV+UM+AvMxrLFVx3AA4o0C9mbANGkvg==" saltValue="BQ8oTJrwLJ6l93p/7Co//A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4</vt:i4>
      </vt:variant>
    </vt:vector>
  </HeadingPairs>
  <TitlesOfParts>
    <vt:vector size="7" baseType="lpstr">
      <vt:lpstr>Supply &amp;Disposition</vt:lpstr>
      <vt:lpstr>Productivity</vt:lpstr>
      <vt:lpstr>Sheet3</vt:lpstr>
      <vt:lpstr>Chart 1</vt:lpstr>
      <vt:lpstr>Chart 2</vt:lpstr>
      <vt:lpstr>Chart 3</vt:lpstr>
      <vt:lpstr>Chart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Charlie Gracey</dc:creator>
  <cp:lastModifiedBy>Owner</cp:lastModifiedBy>
  <dcterms:created xsi:type="dcterms:W3CDTF">1998-11-23T20:46:39Z</dcterms:created>
  <dcterms:modified xsi:type="dcterms:W3CDTF">2017-05-04T20:58:43Z</dcterms:modified>
</cp:coreProperties>
</file>